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25" windowHeight="4455" tabRatio="526" activeTab="0"/>
  </bookViews>
  <sheets>
    <sheet name="Planning &amp; Develop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Long_Range_Facilities_Planning_Committee">#REF!</definedName>
    <definedName name="_xlnm.Print_Area" localSheetId="0">'Planning &amp; Develop'!$A$1:$Z$121</definedName>
    <definedName name="_xlnm.Print_Titles" localSheetId="0">'Planning &amp; Develop'!$A:$B</definedName>
  </definedNames>
  <calcPr fullCalcOnLoad="1"/>
</workbook>
</file>

<file path=xl/sharedStrings.xml><?xml version="1.0" encoding="utf-8"?>
<sst xmlns="http://schemas.openxmlformats.org/spreadsheetml/2006/main" count="138" uniqueCount="70">
  <si>
    <t>Total</t>
  </si>
  <si>
    <t>G.O.</t>
  </si>
  <si>
    <t>Other</t>
  </si>
  <si>
    <t xml:space="preserve">  Subtotal</t>
  </si>
  <si>
    <t>2014 Requested</t>
  </si>
  <si>
    <t>2015 Requested</t>
  </si>
  <si>
    <t>2016 Requested</t>
  </si>
  <si>
    <t>2017 Requested</t>
  </si>
  <si>
    <t>check</t>
  </si>
  <si>
    <t>2013 Adopted</t>
  </si>
  <si>
    <t>2014 Adopted</t>
  </si>
  <si>
    <t>2015 Adopted</t>
  </si>
  <si>
    <t>2016 Adopted</t>
  </si>
  <si>
    <t>2017 Adopted</t>
  </si>
  <si>
    <t>Post 2018 Notes</t>
  </si>
  <si>
    <t>2018 Adopted</t>
  </si>
  <si>
    <t>2018 Requested</t>
  </si>
  <si>
    <t>Adopted 2013 CIP</t>
  </si>
  <si>
    <t>Requested 2014 CIP</t>
  </si>
  <si>
    <t>2019 Requested</t>
  </si>
  <si>
    <t>Post 2019 Notes</t>
  </si>
  <si>
    <t>Over (Under) Cumulative Target</t>
  </si>
  <si>
    <t>2014 -2018 Adopted CIP, Requests, and 10% Reduction Plan</t>
  </si>
  <si>
    <t>Borrowing</t>
  </si>
  <si>
    <t>Cumulative Borrowing 2014 -2018</t>
  </si>
  <si>
    <t>Cumulative Borrowing Adopted CIP</t>
  </si>
  <si>
    <t>2014 CIP 90% Plan</t>
  </si>
  <si>
    <t>90% of Adopted CIP</t>
  </si>
  <si>
    <t>Over (Under) 90% Target</t>
  </si>
  <si>
    <t>Over (Under) Cumulative 90% Target</t>
  </si>
  <si>
    <t>2014 Plan</t>
  </si>
  <si>
    <t>2015 Plan</t>
  </si>
  <si>
    <t>2016 Plan</t>
  </si>
  <si>
    <t>2017 Plan</t>
  </si>
  <si>
    <t>2018 Plan</t>
  </si>
  <si>
    <t>2019 Plan</t>
  </si>
  <si>
    <t>Cumulative Borrow Requested</t>
  </si>
  <si>
    <t>Cumulative Net New Borrowing</t>
  </si>
  <si>
    <t>(Less 2013 to 2014 Reathorizations)</t>
  </si>
  <si>
    <t>Planning &amp; Develop:</t>
  </si>
  <si>
    <t>Municipal Art Fund</t>
  </si>
  <si>
    <t>Law Park Planning</t>
  </si>
  <si>
    <t>Lake Mendota Path</t>
  </si>
  <si>
    <t>Digital Model of Isthmus</t>
  </si>
  <si>
    <t>Broom Street Gateway</t>
  </si>
  <si>
    <t>Downtown Historic Preservation Plan</t>
  </si>
  <si>
    <t>Transp. Master Plan for a Livable City</t>
  </si>
  <si>
    <t>Neighborhood Centers</t>
  </si>
  <si>
    <t>CDA Red. - Truax Area Master Plan</t>
  </si>
  <si>
    <t>CDA Redevelopment - Villager</t>
  </si>
  <si>
    <t>Public Housing Redevelopment</t>
  </si>
  <si>
    <t>Judge Doyle Square (Block 105)</t>
  </si>
  <si>
    <t>Madison Sustainability Commerce Ctr</t>
  </si>
  <si>
    <t>TID 27- Additional Redevelopment on Lake Point</t>
  </si>
  <si>
    <t>TID 36 - Capitol Gateway Corridor</t>
  </si>
  <si>
    <t>TID 37 - Union Corners</t>
  </si>
  <si>
    <t>TID 38 - Badger / Ann / Park St.</t>
  </si>
  <si>
    <t>TID 39 - Stoughton Rd.</t>
  </si>
  <si>
    <t>TID 40 - Northside</t>
  </si>
  <si>
    <t>TID 41 - University / Whitney</t>
  </si>
  <si>
    <t>TID 42 - Wingra</t>
  </si>
  <si>
    <t>TID 43 - Royster Clark</t>
  </si>
  <si>
    <t>TID XX - John Nolen Drive</t>
  </si>
  <si>
    <t>TID XX - W. Johnson St.</t>
  </si>
  <si>
    <t>TID 32 - Upper State Street Corridor</t>
  </si>
  <si>
    <t>Economic Development Plan</t>
  </si>
  <si>
    <t>Tax Incremental Finance Districts</t>
  </si>
  <si>
    <t>Public Market (New)</t>
  </si>
  <si>
    <t>TID XX - West Beltline</t>
  </si>
  <si>
    <t>TID 35 - Todd Drive / West Beltline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</si>
</sst>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6FE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3" fontId="0" fillId="0" borderId="10" xfId="55" applyNumberFormat="1" applyFill="1" applyBorder="1" applyProtection="1">
      <alignment/>
      <protection locked="0"/>
    </xf>
    <xf numFmtId="3" fontId="0" fillId="0" borderId="0" xfId="55" applyNumberFormat="1" applyFill="1" applyBorder="1" applyProtection="1">
      <alignment/>
      <protection locked="0"/>
    </xf>
    <xf numFmtId="3" fontId="0" fillId="0" borderId="11" xfId="55" applyNumberFormat="1" applyFill="1" applyBorder="1" applyProtection="1">
      <alignment/>
      <protection locked="0"/>
    </xf>
    <xf numFmtId="3" fontId="0" fillId="0" borderId="12" xfId="55" applyNumberFormat="1" applyFill="1" applyBorder="1" applyProtection="1">
      <alignment/>
      <protection locked="0"/>
    </xf>
    <xf numFmtId="3" fontId="0" fillId="0" borderId="13" xfId="55" applyNumberFormat="1" applyFill="1" applyBorder="1" applyProtection="1">
      <alignment/>
      <protection locked="0"/>
    </xf>
    <xf numFmtId="3" fontId="0" fillId="0" borderId="0" xfId="55" applyNumberFormat="1" applyFill="1" applyProtection="1">
      <alignment/>
      <protection/>
    </xf>
    <xf numFmtId="3" fontId="2" fillId="0" borderId="14" xfId="55" applyNumberFormat="1" applyFont="1" applyFill="1" applyBorder="1" applyAlignment="1" applyProtection="1">
      <alignment horizontal="centerContinuous"/>
      <protection/>
    </xf>
    <xf numFmtId="3" fontId="2" fillId="0" borderId="15" xfId="55" applyNumberFormat="1" applyFont="1" applyFill="1" applyBorder="1" applyAlignment="1" applyProtection="1">
      <alignment horizontal="centerContinuous"/>
      <protection/>
    </xf>
    <xf numFmtId="3" fontId="3" fillId="0" borderId="16" xfId="55" applyNumberFormat="1" applyFont="1" applyFill="1" applyBorder="1" applyAlignment="1" applyProtection="1">
      <alignment horizontal="centerContinuous"/>
      <protection/>
    </xf>
    <xf numFmtId="3" fontId="0" fillId="0" borderId="17" xfId="55" applyNumberFormat="1" applyFill="1" applyBorder="1" applyProtection="1">
      <alignment/>
      <protection/>
    </xf>
    <xf numFmtId="3" fontId="0" fillId="0" borderId="0" xfId="55" applyNumberFormat="1" applyFill="1" applyBorder="1" applyProtection="1">
      <alignment/>
      <protection/>
    </xf>
    <xf numFmtId="3" fontId="4" fillId="0" borderId="18" xfId="55" applyNumberFormat="1" applyFont="1" applyFill="1" applyBorder="1" applyAlignment="1" applyProtection="1">
      <alignment horizontal="center"/>
      <protection/>
    </xf>
    <xf numFmtId="3" fontId="4" fillId="0" borderId="19" xfId="55" applyNumberFormat="1" applyFont="1" applyFill="1" applyBorder="1" applyAlignment="1" applyProtection="1">
      <alignment horizontal="center"/>
      <protection/>
    </xf>
    <xf numFmtId="3" fontId="4" fillId="0" borderId="20" xfId="55" applyNumberFormat="1" applyFont="1" applyFill="1" applyBorder="1" applyAlignment="1" applyProtection="1">
      <alignment horizontal="center"/>
      <protection/>
    </xf>
    <xf numFmtId="3" fontId="0" fillId="0" borderId="10" xfId="55" applyNumberFormat="1" applyFill="1" applyBorder="1" applyProtection="1">
      <alignment/>
      <protection/>
    </xf>
    <xf numFmtId="3" fontId="0" fillId="0" borderId="11" xfId="55" applyNumberFormat="1" applyFill="1" applyBorder="1" applyProtection="1">
      <alignment/>
      <protection/>
    </xf>
    <xf numFmtId="3" fontId="0" fillId="0" borderId="12" xfId="55" applyNumberFormat="1" applyFill="1" applyBorder="1" applyProtection="1">
      <alignment/>
      <protection/>
    </xf>
    <xf numFmtId="3" fontId="0" fillId="0" borderId="13" xfId="55" applyNumberFormat="1" applyFill="1" applyBorder="1" applyProtection="1">
      <alignment/>
      <protection/>
    </xf>
    <xf numFmtId="3" fontId="0" fillId="33" borderId="0" xfId="55" applyNumberFormat="1" applyFill="1" applyProtection="1">
      <alignment/>
      <protection/>
    </xf>
    <xf numFmtId="3" fontId="0" fillId="0" borderId="21" xfId="55" applyNumberFormat="1" applyFill="1" applyBorder="1" applyProtection="1">
      <alignment/>
      <protection/>
    </xf>
    <xf numFmtId="3" fontId="0" fillId="0" borderId="22" xfId="55" applyNumberFormat="1" applyFill="1" applyBorder="1" applyProtection="1">
      <alignment/>
      <protection/>
    </xf>
    <xf numFmtId="3" fontId="0" fillId="9" borderId="23" xfId="55" applyNumberFormat="1" applyFill="1" applyBorder="1" applyProtection="1">
      <alignment/>
      <protection/>
    </xf>
    <xf numFmtId="3" fontId="7" fillId="0" borderId="0" xfId="55" applyNumberFormat="1" applyFont="1" applyFill="1" applyProtection="1">
      <alignment/>
      <protection/>
    </xf>
    <xf numFmtId="3" fontId="3" fillId="0" borderId="15" xfId="55" applyNumberFormat="1" applyFont="1" applyFill="1" applyBorder="1" applyAlignment="1" applyProtection="1">
      <alignment horizontal="centerContinuous"/>
      <protection/>
    </xf>
    <xf numFmtId="3" fontId="0" fillId="0" borderId="0" xfId="55" applyNumberFormat="1" applyFill="1" applyAlignment="1" applyProtection="1">
      <alignment horizontal="centerContinuous"/>
      <protection/>
    </xf>
    <xf numFmtId="3" fontId="5" fillId="0" borderId="0" xfId="55" applyNumberFormat="1" applyFont="1" applyFill="1" applyAlignment="1" applyProtection="1">
      <alignment/>
      <protection/>
    </xf>
    <xf numFmtId="0" fontId="0" fillId="0" borderId="0" xfId="55" applyAlignment="1" applyProtection="1">
      <alignment/>
      <protection/>
    </xf>
    <xf numFmtId="3" fontId="0" fillId="0" borderId="0" xfId="55" applyNumberFormat="1" applyFill="1" applyAlignment="1" applyProtection="1">
      <alignment horizontal="center"/>
      <protection/>
    </xf>
    <xf numFmtId="3" fontId="0" fillId="0" borderId="0" xfId="55" applyNumberFormat="1" applyFill="1" applyAlignment="1" applyProtection="1">
      <alignment horizontal="left"/>
      <protection/>
    </xf>
    <xf numFmtId="3" fontId="6" fillId="0" borderId="0" xfId="55" applyNumberFormat="1" applyFont="1" applyFill="1" applyAlignment="1" applyProtection="1">
      <alignment horizontal="left"/>
      <protection/>
    </xf>
    <xf numFmtId="3" fontId="0" fillId="0" borderId="0" xfId="55" applyNumberFormat="1" applyFill="1" applyBorder="1" applyAlignment="1" applyProtection="1">
      <alignment horizontal="centerContinuous"/>
      <protection/>
    </xf>
    <xf numFmtId="3" fontId="3" fillId="0" borderId="0" xfId="55" applyNumberFormat="1" applyFont="1" applyFill="1" applyAlignment="1" applyProtection="1">
      <alignment horizontal="centerContinuous"/>
      <protection/>
    </xf>
    <xf numFmtId="3" fontId="2" fillId="0" borderId="0" xfId="55" applyNumberFormat="1" applyFont="1" applyFill="1" applyAlignment="1" applyProtection="1">
      <alignment/>
      <protection/>
    </xf>
    <xf numFmtId="3" fontId="0" fillId="0" borderId="0" xfId="55" applyNumberFormat="1" applyFont="1" applyFill="1" applyBorder="1" applyAlignment="1" applyProtection="1">
      <alignment horizontal="centerContinuous"/>
      <protection/>
    </xf>
    <xf numFmtId="3" fontId="3" fillId="0" borderId="0" xfId="55" applyNumberFormat="1" applyFont="1" applyFill="1" applyBorder="1" applyAlignment="1" applyProtection="1">
      <alignment horizontal="centerContinuous"/>
      <protection/>
    </xf>
    <xf numFmtId="3" fontId="0" fillId="0" borderId="0" xfId="55" applyNumberFormat="1" applyFill="1" applyBorder="1" applyAlignment="1" applyProtection="1">
      <alignment horizontal="center"/>
      <protection/>
    </xf>
    <xf numFmtId="3" fontId="0" fillId="0" borderId="24" xfId="55" applyNumberFormat="1" applyFill="1" applyBorder="1" applyProtection="1">
      <alignment/>
      <protection/>
    </xf>
    <xf numFmtId="3" fontId="0" fillId="0" borderId="25" xfId="55" applyNumberFormat="1" applyFill="1" applyBorder="1" applyProtection="1">
      <alignment/>
      <protection/>
    </xf>
    <xf numFmtId="3" fontId="0" fillId="0" borderId="26" xfId="55" applyNumberFormat="1" applyFill="1" applyBorder="1" applyProtection="1">
      <alignment/>
      <protection/>
    </xf>
    <xf numFmtId="3" fontId="0" fillId="0" borderId="14" xfId="55" applyNumberFormat="1" applyFill="1" applyBorder="1" applyProtection="1">
      <alignment/>
      <protection/>
    </xf>
    <xf numFmtId="3" fontId="0" fillId="0" borderId="15" xfId="55" applyNumberFormat="1" applyFill="1" applyBorder="1" applyProtection="1">
      <alignment/>
      <protection/>
    </xf>
    <xf numFmtId="3" fontId="0" fillId="0" borderId="16" xfId="55" applyNumberFormat="1" applyFill="1" applyBorder="1" applyProtection="1">
      <alignment/>
      <protection/>
    </xf>
    <xf numFmtId="3" fontId="0" fillId="0" borderId="0" xfId="55" applyNumberFormat="1" applyFill="1">
      <alignment/>
      <protection/>
    </xf>
    <xf numFmtId="3" fontId="0" fillId="0" borderId="0" xfId="55" applyNumberFormat="1" applyFill="1" applyBorder="1">
      <alignment/>
      <protection/>
    </xf>
    <xf numFmtId="3" fontId="3" fillId="0" borderId="0" xfId="55" applyNumberFormat="1" applyFont="1" applyFill="1">
      <alignment/>
      <protection/>
    </xf>
    <xf numFmtId="3" fontId="0" fillId="0" borderId="13" xfId="55" applyNumberFormat="1" applyFill="1" applyBorder="1">
      <alignment/>
      <protection/>
    </xf>
    <xf numFmtId="3" fontId="0" fillId="0" borderId="12" xfId="55" applyNumberFormat="1" applyFill="1" applyBorder="1">
      <alignment/>
      <protection/>
    </xf>
    <xf numFmtId="3" fontId="0" fillId="0" borderId="0" xfId="55" applyNumberFormat="1" applyFont="1" applyFill="1">
      <alignment/>
      <protection/>
    </xf>
    <xf numFmtId="3" fontId="0" fillId="0" borderId="10" xfId="55" applyNumberFormat="1" applyFill="1" applyBorder="1">
      <alignment/>
      <protection/>
    </xf>
    <xf numFmtId="3" fontId="0" fillId="0" borderId="11" xfId="55" applyNumberFormat="1" applyFill="1" applyBorder="1">
      <alignment/>
      <protection/>
    </xf>
    <xf numFmtId="3" fontId="0" fillId="33" borderId="0" xfId="55" applyNumberFormat="1" applyFont="1" applyFill="1">
      <alignment/>
      <protection/>
    </xf>
    <xf numFmtId="3" fontId="0" fillId="33" borderId="10" xfId="55" applyNumberFormat="1" applyFill="1" applyBorder="1">
      <alignment/>
      <protection/>
    </xf>
    <xf numFmtId="3" fontId="0" fillId="33" borderId="0" xfId="55" applyNumberFormat="1" applyFill="1" applyBorder="1">
      <alignment/>
      <protection/>
    </xf>
    <xf numFmtId="3" fontId="0" fillId="33" borderId="11" xfId="55" applyNumberFormat="1" applyFill="1" applyBorder="1">
      <alignment/>
      <protection/>
    </xf>
    <xf numFmtId="3" fontId="0" fillId="33" borderId="13" xfId="55" applyNumberFormat="1" applyFill="1" applyBorder="1">
      <alignment/>
      <protection/>
    </xf>
    <xf numFmtId="3" fontId="0" fillId="33" borderId="12" xfId="55" applyNumberForma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3" fontId="0" fillId="34" borderId="0" xfId="55" applyNumberFormat="1" applyFill="1" applyBorder="1">
      <alignment/>
      <protection/>
    </xf>
    <xf numFmtId="3" fontId="0" fillId="34" borderId="10" xfId="55" applyNumberFormat="1" applyFill="1" applyBorder="1">
      <alignment/>
      <protection/>
    </xf>
    <xf numFmtId="3" fontId="0" fillId="34" borderId="0" xfId="55" applyNumberFormat="1" applyFill="1">
      <alignment/>
      <protection/>
    </xf>
    <xf numFmtId="3" fontId="0" fillId="33" borderId="0" xfId="55" applyNumberFormat="1" applyFill="1">
      <alignment/>
      <protection/>
    </xf>
    <xf numFmtId="3" fontId="0" fillId="0" borderId="0" xfId="55" applyNumberFormat="1" applyFill="1" applyProtection="1">
      <alignment/>
      <protection locked="0"/>
    </xf>
    <xf numFmtId="3" fontId="2" fillId="0" borderId="0" xfId="55" applyNumberFormat="1" applyFont="1" applyFill="1" applyBorder="1" applyAlignment="1" applyProtection="1">
      <alignment horizontal="center"/>
      <protection locked="0"/>
    </xf>
    <xf numFmtId="3" fontId="3" fillId="0" borderId="0" xfId="55" applyNumberFormat="1" applyFont="1" applyFill="1" applyBorder="1" applyAlignment="1" applyProtection="1">
      <alignment horizontal="center"/>
      <protection locked="0"/>
    </xf>
    <xf numFmtId="3" fontId="2" fillId="0" borderId="14" xfId="55" applyNumberFormat="1" applyFont="1" applyFill="1" applyBorder="1" applyAlignment="1" applyProtection="1">
      <alignment horizontal="center"/>
      <protection locked="0"/>
    </xf>
    <xf numFmtId="3" fontId="2" fillId="0" borderId="15" xfId="55" applyNumberFormat="1" applyFont="1" applyFill="1" applyBorder="1" applyAlignment="1" applyProtection="1">
      <alignment horizontal="center"/>
      <protection locked="0"/>
    </xf>
    <xf numFmtId="3" fontId="3" fillId="0" borderId="16" xfId="55" applyNumberFormat="1" applyFont="1" applyFill="1" applyBorder="1" applyAlignment="1" applyProtection="1">
      <alignment horizontal="center"/>
      <protection locked="0"/>
    </xf>
    <xf numFmtId="3" fontId="7" fillId="0" borderId="0" xfId="55" applyNumberFormat="1" applyFont="1" applyFill="1" applyProtection="1">
      <alignment/>
      <protection locked="0"/>
    </xf>
    <xf numFmtId="3" fontId="4" fillId="0" borderId="0" xfId="55" applyNumberFormat="1" applyFont="1" applyFill="1" applyBorder="1" applyAlignment="1" applyProtection="1">
      <alignment horizontal="center"/>
      <protection locked="0"/>
    </xf>
    <xf numFmtId="3" fontId="4" fillId="0" borderId="18" xfId="55" applyNumberFormat="1" applyFont="1" applyFill="1" applyBorder="1" applyAlignment="1" applyProtection="1">
      <alignment horizontal="center"/>
      <protection locked="0"/>
    </xf>
    <xf numFmtId="3" fontId="4" fillId="0" borderId="19" xfId="55" applyNumberFormat="1" applyFont="1" applyFill="1" applyBorder="1" applyAlignment="1" applyProtection="1">
      <alignment horizontal="center"/>
      <protection locked="0"/>
    </xf>
    <xf numFmtId="3" fontId="4" fillId="0" borderId="20" xfId="55" applyNumberFormat="1" applyFont="1" applyFill="1" applyBorder="1" applyAlignment="1" applyProtection="1">
      <alignment horizontal="center"/>
      <protection locked="0"/>
    </xf>
    <xf numFmtId="3" fontId="3" fillId="0" borderId="0" xfId="55" applyNumberFormat="1" applyFont="1" applyFill="1" applyProtection="1">
      <alignment/>
      <protection locked="0"/>
    </xf>
    <xf numFmtId="3" fontId="0" fillId="0" borderId="0" xfId="55" applyNumberFormat="1" applyFont="1" applyFill="1" applyProtection="1">
      <alignment/>
      <protection locked="0"/>
    </xf>
    <xf numFmtId="3" fontId="0" fillId="33" borderId="0" xfId="55" applyNumberFormat="1" applyFont="1" applyFill="1" applyProtection="1">
      <alignment/>
      <protection locked="0"/>
    </xf>
    <xf numFmtId="3" fontId="0" fillId="33" borderId="10" xfId="55" applyNumberFormat="1" applyFill="1" applyBorder="1" applyProtection="1">
      <alignment/>
      <protection locked="0"/>
    </xf>
    <xf numFmtId="3" fontId="0" fillId="33" borderId="0" xfId="55" applyNumberFormat="1" applyFill="1" applyBorder="1" applyProtection="1">
      <alignment/>
      <protection locked="0"/>
    </xf>
    <xf numFmtId="3" fontId="0" fillId="33" borderId="11" xfId="55" applyNumberFormat="1" applyFill="1" applyBorder="1" applyProtection="1">
      <alignment/>
      <protection locked="0"/>
    </xf>
    <xf numFmtId="3" fontId="0" fillId="33" borderId="12" xfId="55" applyNumberFormat="1" applyFill="1" applyBorder="1" applyProtection="1">
      <alignment/>
      <protection locked="0"/>
    </xf>
    <xf numFmtId="3" fontId="0" fillId="33" borderId="13" xfId="55" applyNumberFormat="1" applyFill="1" applyBorder="1" applyProtection="1">
      <alignment/>
      <protection locked="0"/>
    </xf>
    <xf numFmtId="3" fontId="0" fillId="0" borderId="24" xfId="55" applyNumberFormat="1" applyFill="1" applyBorder="1" applyProtection="1">
      <alignment/>
      <protection locked="0"/>
    </xf>
    <xf numFmtId="3" fontId="0" fillId="0" borderId="25" xfId="55" applyNumberFormat="1" applyFill="1" applyBorder="1" applyProtection="1">
      <alignment/>
      <protection locked="0"/>
    </xf>
    <xf numFmtId="3" fontId="0" fillId="0" borderId="26" xfId="55" applyNumberFormat="1" applyFill="1" applyBorder="1" applyProtection="1">
      <alignment/>
      <protection locked="0"/>
    </xf>
    <xf numFmtId="37" fontId="0" fillId="0" borderId="0" xfId="55" applyNumberFormat="1" applyFill="1" applyProtection="1">
      <alignment/>
      <protection locked="0"/>
    </xf>
    <xf numFmtId="37" fontId="0" fillId="9" borderId="0" xfId="55" applyNumberFormat="1" applyFill="1" applyProtection="1">
      <alignment/>
      <protection locked="0"/>
    </xf>
    <xf numFmtId="3" fontId="2" fillId="0" borderId="0" xfId="55" applyNumberFormat="1" applyFont="1" applyFill="1" applyBorder="1" applyAlignment="1" applyProtection="1">
      <alignment horizontal="centerContinuous"/>
      <protection locked="0"/>
    </xf>
    <xf numFmtId="3" fontId="3" fillId="0" borderId="0" xfId="55" applyNumberFormat="1" applyFont="1" applyFill="1" applyBorder="1" applyAlignment="1" applyProtection="1">
      <alignment horizontal="centerContinuous"/>
      <protection locked="0"/>
    </xf>
    <xf numFmtId="3" fontId="2" fillId="0" borderId="14" xfId="55" applyNumberFormat="1" applyFont="1" applyFill="1" applyBorder="1" applyAlignment="1" applyProtection="1">
      <alignment horizontal="centerContinuous"/>
      <protection locked="0"/>
    </xf>
    <xf numFmtId="3" fontId="2" fillId="0" borderId="15" xfId="55" applyNumberFormat="1" applyFont="1" applyFill="1" applyBorder="1" applyAlignment="1" applyProtection="1">
      <alignment horizontal="centerContinuous"/>
      <protection locked="0"/>
    </xf>
    <xf numFmtId="3" fontId="3" fillId="0" borderId="16" xfId="55" applyNumberFormat="1" applyFont="1" applyFill="1" applyBorder="1" applyAlignment="1" applyProtection="1">
      <alignment horizontal="centerContinuous"/>
      <protection locked="0"/>
    </xf>
    <xf numFmtId="37" fontId="0" fillId="9" borderId="23" xfId="55" applyNumberFormat="1" applyFill="1" applyBorder="1" applyProtection="1">
      <alignment/>
      <protection locked="0"/>
    </xf>
    <xf numFmtId="3" fontId="2" fillId="0" borderId="14" xfId="55" applyNumberFormat="1" applyFont="1" applyFill="1" applyBorder="1" applyAlignment="1" applyProtection="1">
      <alignment horizontal="center"/>
      <protection/>
    </xf>
    <xf numFmtId="3" fontId="2" fillId="0" borderId="15" xfId="55" applyNumberFormat="1" applyFont="1" applyFill="1" applyBorder="1" applyAlignment="1" applyProtection="1">
      <alignment horizontal="center"/>
      <protection/>
    </xf>
    <xf numFmtId="3" fontId="2" fillId="0" borderId="16" xfId="55" applyNumberFormat="1" applyFont="1" applyFill="1" applyBorder="1" applyAlignment="1" applyProtection="1">
      <alignment horizontal="center"/>
      <protection/>
    </xf>
    <xf numFmtId="3" fontId="2" fillId="0" borderId="14" xfId="55" applyNumberFormat="1" applyFont="1" applyFill="1" applyBorder="1" applyAlignment="1" applyProtection="1">
      <alignment horizontal="center"/>
      <protection locked="0"/>
    </xf>
    <xf numFmtId="3" fontId="2" fillId="0" borderId="15" xfId="55" applyNumberFormat="1" applyFont="1" applyFill="1" applyBorder="1" applyAlignment="1" applyProtection="1">
      <alignment horizontal="center"/>
      <protection locked="0"/>
    </xf>
    <xf numFmtId="3" fontId="2" fillId="0" borderId="16" xfId="55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tabSelected="1" zoomScaleSheetLayoutView="100" zoomScalePageLayoutView="0" workbookViewId="0" topLeftCell="A1">
      <pane ySplit="4" topLeftCell="A98" activePane="bottomLeft" state="frozen"/>
      <selection pane="topLeft" activeCell="A1" sqref="A1"/>
      <selection pane="bottomLeft" activeCell="R121" sqref="R121"/>
    </sheetView>
  </sheetViews>
  <sheetFormatPr defaultColWidth="9.33203125" defaultRowHeight="11.25"/>
  <cols>
    <col min="1" max="1" width="3" style="6" customWidth="1"/>
    <col min="2" max="2" width="30.16015625" style="6" customWidth="1"/>
    <col min="3" max="4" width="11.83203125" style="6" hidden="1" customWidth="1"/>
    <col min="5" max="5" width="11.16015625" style="6" hidden="1" customWidth="1"/>
    <col min="6" max="23" width="11.16015625" style="6" customWidth="1"/>
    <col min="24" max="26" width="11.16015625" style="11" customWidth="1"/>
    <col min="27" max="31" width="16.33203125" style="11" customWidth="1"/>
    <col min="32" max="32" width="16" style="11" customWidth="1"/>
    <col min="33" max="33" width="11.16015625" style="11" bestFit="1" customWidth="1"/>
    <col min="34" max="34" width="12.66015625" style="11" bestFit="1" customWidth="1"/>
    <col min="35" max="35" width="9.33203125" style="11" customWidth="1"/>
    <col min="36" max="36" width="11.33203125" style="11" customWidth="1"/>
    <col min="37" max="37" width="10.83203125" style="11" customWidth="1"/>
    <col min="38" max="38" width="12.33203125" style="11" customWidth="1"/>
    <col min="39" max="39" width="22.33203125" style="11" bestFit="1" customWidth="1"/>
    <col min="40" max="40" width="11" style="11" customWidth="1"/>
    <col min="41" max="41" width="93.5" style="11" bestFit="1" customWidth="1"/>
    <col min="42" max="82" width="9.33203125" style="11" customWidth="1"/>
    <col min="83" max="16384" width="9.33203125" style="6" customWidth="1"/>
  </cols>
  <sheetData>
    <row r="1" spans="1:20" ht="20.25">
      <c r="A1" s="25"/>
      <c r="B1" s="26" t="s">
        <v>22</v>
      </c>
      <c r="C1" s="27"/>
      <c r="D1" s="27"/>
      <c r="E1" s="27"/>
      <c r="F1" s="27"/>
      <c r="G1" s="28"/>
      <c r="H1" s="28"/>
      <c r="I1" s="25"/>
      <c r="J1" s="25"/>
      <c r="K1" s="29"/>
      <c r="L1" s="30"/>
      <c r="M1" s="25"/>
      <c r="N1" s="25"/>
      <c r="O1" s="31"/>
      <c r="P1" s="25"/>
      <c r="Q1" s="25"/>
      <c r="R1" s="25"/>
      <c r="S1" s="25"/>
      <c r="T1" s="25"/>
    </row>
    <row r="2" spans="1:15" ht="13.5" thickBot="1">
      <c r="A2" s="32"/>
      <c r="B2" s="33"/>
      <c r="C2" s="32"/>
      <c r="D2" s="34"/>
      <c r="E2" s="34"/>
      <c r="F2" s="35"/>
      <c r="O2" s="11"/>
    </row>
    <row r="3" spans="2:31" ht="15">
      <c r="B3" s="23" t="s">
        <v>17</v>
      </c>
      <c r="C3" s="7" t="s">
        <v>9</v>
      </c>
      <c r="D3" s="8"/>
      <c r="E3" s="24"/>
      <c r="F3" s="7" t="s">
        <v>10</v>
      </c>
      <c r="G3" s="8"/>
      <c r="H3" s="9"/>
      <c r="I3" s="8" t="s">
        <v>11</v>
      </c>
      <c r="J3" s="8"/>
      <c r="K3" s="9"/>
      <c r="L3" s="7" t="s">
        <v>12</v>
      </c>
      <c r="M3" s="8"/>
      <c r="N3" s="9"/>
      <c r="O3" s="7" t="s">
        <v>13</v>
      </c>
      <c r="P3" s="8"/>
      <c r="Q3" s="9"/>
      <c r="R3" s="92" t="s">
        <v>15</v>
      </c>
      <c r="S3" s="93"/>
      <c r="T3" s="94"/>
      <c r="U3" s="92" t="s">
        <v>14</v>
      </c>
      <c r="V3" s="93"/>
      <c r="W3" s="94"/>
      <c r="AE3" s="36"/>
    </row>
    <row r="4" spans="3:23" ht="12.75" thickBot="1">
      <c r="C4" s="12" t="s">
        <v>1</v>
      </c>
      <c r="D4" s="13" t="s">
        <v>2</v>
      </c>
      <c r="E4" s="13" t="s">
        <v>0</v>
      </c>
      <c r="F4" s="12" t="s">
        <v>23</v>
      </c>
      <c r="G4" s="13" t="s">
        <v>2</v>
      </c>
      <c r="H4" s="14" t="s">
        <v>0</v>
      </c>
      <c r="I4" s="13" t="s">
        <v>23</v>
      </c>
      <c r="J4" s="13" t="s">
        <v>2</v>
      </c>
      <c r="K4" s="14" t="s">
        <v>0</v>
      </c>
      <c r="L4" s="12" t="s">
        <v>23</v>
      </c>
      <c r="M4" s="13" t="s">
        <v>2</v>
      </c>
      <c r="N4" s="14" t="s">
        <v>0</v>
      </c>
      <c r="O4" s="12" t="s">
        <v>23</v>
      </c>
      <c r="P4" s="13" t="s">
        <v>2</v>
      </c>
      <c r="Q4" s="14" t="s">
        <v>0</v>
      </c>
      <c r="R4" s="12" t="s">
        <v>23</v>
      </c>
      <c r="S4" s="13" t="s">
        <v>2</v>
      </c>
      <c r="T4" s="14" t="s">
        <v>0</v>
      </c>
      <c r="U4" s="12" t="s">
        <v>23</v>
      </c>
      <c r="V4" s="13" t="s">
        <v>2</v>
      </c>
      <c r="W4" s="14" t="s">
        <v>0</v>
      </c>
    </row>
    <row r="5" spans="3:23" ht="12" thickBot="1">
      <c r="C5" s="15"/>
      <c r="D5" s="11"/>
      <c r="E5" s="11"/>
      <c r="F5" s="40"/>
      <c r="G5" s="41"/>
      <c r="H5" s="42"/>
      <c r="I5" s="11"/>
      <c r="J5" s="11"/>
      <c r="K5" s="17"/>
      <c r="L5" s="11"/>
      <c r="M5" s="11"/>
      <c r="N5" s="11"/>
      <c r="O5" s="18"/>
      <c r="P5" s="11"/>
      <c r="Q5" s="17"/>
      <c r="R5" s="11"/>
      <c r="S5" s="11"/>
      <c r="T5" s="16"/>
      <c r="U5" s="15"/>
      <c r="V5" s="11"/>
      <c r="W5" s="16"/>
    </row>
    <row r="6" spans="1:23" ht="11.25">
      <c r="A6" s="45" t="s">
        <v>39</v>
      </c>
      <c r="B6" s="43"/>
      <c r="C6" s="49"/>
      <c r="D6" s="44"/>
      <c r="E6" s="50"/>
      <c r="F6" s="49"/>
      <c r="G6" s="44"/>
      <c r="H6" s="50"/>
      <c r="I6" s="44"/>
      <c r="J6" s="44"/>
      <c r="K6" s="47"/>
      <c r="L6" s="44"/>
      <c r="M6" s="44"/>
      <c r="N6" s="44"/>
      <c r="O6" s="46"/>
      <c r="P6" s="44"/>
      <c r="Q6" s="47"/>
      <c r="R6" s="44"/>
      <c r="S6" s="44"/>
      <c r="T6" s="50"/>
      <c r="U6" s="40"/>
      <c r="V6" s="41"/>
      <c r="W6" s="42"/>
    </row>
    <row r="7" spans="1:23" ht="11.25">
      <c r="A7" s="48">
        <v>1</v>
      </c>
      <c r="B7" s="48" t="s">
        <v>40</v>
      </c>
      <c r="C7" s="49">
        <f>105000-50000-55000</f>
        <v>0</v>
      </c>
      <c r="D7" s="44">
        <f>50000+55000</f>
        <v>105000</v>
      </c>
      <c r="E7" s="50">
        <f aca="true" t="shared" si="0" ref="E7:E20">SUM(C7:D7)</f>
        <v>105000</v>
      </c>
      <c r="F7" s="49">
        <v>80000</v>
      </c>
      <c r="G7" s="44">
        <v>0</v>
      </c>
      <c r="H7" s="50">
        <f aca="true" t="shared" si="1" ref="H7:H32">SUM(F7:G7)</f>
        <v>80000</v>
      </c>
      <c r="I7" s="44">
        <v>80000</v>
      </c>
      <c r="J7" s="44">
        <v>0</v>
      </c>
      <c r="K7" s="47">
        <f aca="true" t="shared" si="2" ref="K7:K32">SUM(I7:J7)</f>
        <v>80000</v>
      </c>
      <c r="L7" s="44">
        <v>80000</v>
      </c>
      <c r="M7" s="44">
        <v>0</v>
      </c>
      <c r="N7" s="47">
        <f aca="true" t="shared" si="3" ref="N7:N32">SUM(L7:M7)</f>
        <v>80000</v>
      </c>
      <c r="O7" s="44">
        <v>80000</v>
      </c>
      <c r="P7" s="44">
        <v>0</v>
      </c>
      <c r="Q7" s="47">
        <f aca="true" t="shared" si="4" ref="Q7:Q32">SUM(O7:P7)</f>
        <v>80000</v>
      </c>
      <c r="R7" s="44">
        <v>80000</v>
      </c>
      <c r="S7" s="44">
        <v>0</v>
      </c>
      <c r="T7" s="50">
        <f aca="true" t="shared" si="5" ref="T7:T32">SUM(R7:S7)</f>
        <v>80000</v>
      </c>
      <c r="U7" s="15">
        <v>0</v>
      </c>
      <c r="V7" s="11">
        <v>0</v>
      </c>
      <c r="W7" s="16">
        <f aca="true" t="shared" si="6" ref="W7:W23">U7+V7</f>
        <v>0</v>
      </c>
    </row>
    <row r="8" spans="1:23" ht="11.25">
      <c r="A8" s="48">
        <v>2</v>
      </c>
      <c r="B8" s="48" t="s">
        <v>41</v>
      </c>
      <c r="C8" s="49">
        <v>0</v>
      </c>
      <c r="D8" s="44">
        <v>0</v>
      </c>
      <c r="E8" s="50">
        <f t="shared" si="0"/>
        <v>0</v>
      </c>
      <c r="F8" s="49">
        <v>100000</v>
      </c>
      <c r="G8" s="44">
        <v>0</v>
      </c>
      <c r="H8" s="50">
        <f t="shared" si="1"/>
        <v>100000</v>
      </c>
      <c r="I8" s="44">
        <v>0</v>
      </c>
      <c r="J8" s="44">
        <v>0</v>
      </c>
      <c r="K8" s="47">
        <f t="shared" si="2"/>
        <v>0</v>
      </c>
      <c r="L8" s="44">
        <v>0</v>
      </c>
      <c r="M8" s="44">
        <v>0</v>
      </c>
      <c r="N8" s="47">
        <f t="shared" si="3"/>
        <v>0</v>
      </c>
      <c r="O8" s="44">
        <v>0</v>
      </c>
      <c r="P8" s="44">
        <v>0</v>
      </c>
      <c r="Q8" s="47">
        <f t="shared" si="4"/>
        <v>0</v>
      </c>
      <c r="R8" s="44">
        <v>0</v>
      </c>
      <c r="S8" s="44">
        <v>0</v>
      </c>
      <c r="T8" s="50">
        <f t="shared" si="5"/>
        <v>0</v>
      </c>
      <c r="U8" s="15">
        <v>0</v>
      </c>
      <c r="V8" s="11">
        <v>0</v>
      </c>
      <c r="W8" s="16">
        <f t="shared" si="6"/>
        <v>0</v>
      </c>
    </row>
    <row r="9" spans="1:256" s="19" customFormat="1" ht="11.25">
      <c r="A9" s="51">
        <v>3</v>
      </c>
      <c r="B9" s="61" t="s">
        <v>42</v>
      </c>
      <c r="C9" s="52">
        <v>0</v>
      </c>
      <c r="D9" s="53">
        <f>2000000-2000000</f>
        <v>0</v>
      </c>
      <c r="E9" s="54">
        <f t="shared" si="0"/>
        <v>0</v>
      </c>
      <c r="F9" s="52">
        <v>0</v>
      </c>
      <c r="G9" s="53">
        <v>0</v>
      </c>
      <c r="H9" s="54">
        <f t="shared" si="1"/>
        <v>0</v>
      </c>
      <c r="I9" s="53">
        <v>75000</v>
      </c>
      <c r="J9" s="53">
        <v>0</v>
      </c>
      <c r="K9" s="56">
        <f t="shared" si="2"/>
        <v>75000</v>
      </c>
      <c r="L9" s="53">
        <v>500000</v>
      </c>
      <c r="M9" s="53">
        <v>0</v>
      </c>
      <c r="N9" s="53">
        <f t="shared" si="3"/>
        <v>500000</v>
      </c>
      <c r="O9" s="55">
        <v>500000</v>
      </c>
      <c r="P9" s="53">
        <v>0</v>
      </c>
      <c r="Q9" s="56">
        <f t="shared" si="4"/>
        <v>500000</v>
      </c>
      <c r="R9" s="53">
        <v>500000</v>
      </c>
      <c r="S9" s="53">
        <v>0</v>
      </c>
      <c r="T9" s="54">
        <f t="shared" si="5"/>
        <v>500000</v>
      </c>
      <c r="U9" s="52">
        <v>0</v>
      </c>
      <c r="V9" s="53">
        <v>0</v>
      </c>
      <c r="W9" s="54">
        <f t="shared" si="6"/>
        <v>0</v>
      </c>
      <c r="X9" s="11"/>
      <c r="Y9" s="11"/>
      <c r="Z9" s="11"/>
      <c r="AA9" s="11"/>
      <c r="AB9" s="11"/>
      <c r="AC9" s="11"/>
      <c r="AD9" s="6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3" ht="11.25">
      <c r="A10" s="48">
        <v>4</v>
      </c>
      <c r="B10" s="48" t="s">
        <v>43</v>
      </c>
      <c r="C10" s="49">
        <f>125000-125000</f>
        <v>0</v>
      </c>
      <c r="D10" s="44">
        <f>125000-25000-100000</f>
        <v>0</v>
      </c>
      <c r="E10" s="50">
        <f>SUM(C10:D10)</f>
        <v>0</v>
      </c>
      <c r="F10" s="49">
        <v>100000</v>
      </c>
      <c r="G10" s="44">
        <v>0</v>
      </c>
      <c r="H10" s="50">
        <f t="shared" si="1"/>
        <v>100000</v>
      </c>
      <c r="I10" s="57">
        <v>0</v>
      </c>
      <c r="J10" s="44">
        <v>0</v>
      </c>
      <c r="K10" s="47">
        <f t="shared" si="2"/>
        <v>0</v>
      </c>
      <c r="L10" s="57">
        <v>0</v>
      </c>
      <c r="M10" s="44">
        <v>0</v>
      </c>
      <c r="N10" s="47">
        <f t="shared" si="3"/>
        <v>0</v>
      </c>
      <c r="O10" s="57">
        <v>0</v>
      </c>
      <c r="P10" s="44">
        <v>0</v>
      </c>
      <c r="Q10" s="47">
        <f t="shared" si="4"/>
        <v>0</v>
      </c>
      <c r="R10" s="57">
        <v>0</v>
      </c>
      <c r="S10" s="44">
        <v>0</v>
      </c>
      <c r="T10" s="50">
        <f t="shared" si="5"/>
        <v>0</v>
      </c>
      <c r="U10" s="15">
        <v>0</v>
      </c>
      <c r="V10" s="11">
        <v>0</v>
      </c>
      <c r="W10" s="16">
        <f t="shared" si="6"/>
        <v>0</v>
      </c>
    </row>
    <row r="11" spans="1:23" ht="11.25">
      <c r="A11" s="48">
        <v>5</v>
      </c>
      <c r="B11" s="48" t="s">
        <v>44</v>
      </c>
      <c r="C11" s="49">
        <v>0</v>
      </c>
      <c r="D11" s="44">
        <v>0</v>
      </c>
      <c r="E11" s="50">
        <f t="shared" si="0"/>
        <v>0</v>
      </c>
      <c r="F11" s="49">
        <v>0</v>
      </c>
      <c r="G11" s="44">
        <v>0</v>
      </c>
      <c r="H11" s="50">
        <f t="shared" si="1"/>
        <v>0</v>
      </c>
      <c r="I11" s="44">
        <v>50000</v>
      </c>
      <c r="J11" s="44">
        <v>0</v>
      </c>
      <c r="K11" s="47">
        <f t="shared" si="2"/>
        <v>50000</v>
      </c>
      <c r="L11" s="44">
        <v>0</v>
      </c>
      <c r="M11" s="44">
        <v>0</v>
      </c>
      <c r="N11" s="47">
        <f t="shared" si="3"/>
        <v>0</v>
      </c>
      <c r="O11" s="44">
        <v>0</v>
      </c>
      <c r="P11" s="44">
        <v>0</v>
      </c>
      <c r="Q11" s="47">
        <f t="shared" si="4"/>
        <v>0</v>
      </c>
      <c r="R11" s="44">
        <v>0</v>
      </c>
      <c r="S11" s="44">
        <v>0</v>
      </c>
      <c r="T11" s="50">
        <f t="shared" si="5"/>
        <v>0</v>
      </c>
      <c r="U11" s="15">
        <v>0</v>
      </c>
      <c r="V11" s="11">
        <v>0</v>
      </c>
      <c r="W11" s="16">
        <f t="shared" si="6"/>
        <v>0</v>
      </c>
    </row>
    <row r="12" spans="1:256" s="19" customFormat="1" ht="11.25">
      <c r="A12" s="51">
        <v>6</v>
      </c>
      <c r="B12" s="61" t="s">
        <v>45</v>
      </c>
      <c r="C12" s="52">
        <v>0</v>
      </c>
      <c r="D12" s="53">
        <v>0</v>
      </c>
      <c r="E12" s="54">
        <f t="shared" si="0"/>
        <v>0</v>
      </c>
      <c r="F12" s="52">
        <v>0</v>
      </c>
      <c r="G12" s="53">
        <v>0</v>
      </c>
      <c r="H12" s="54">
        <f t="shared" si="1"/>
        <v>0</v>
      </c>
      <c r="I12" s="53">
        <v>50000</v>
      </c>
      <c r="J12" s="53">
        <v>0</v>
      </c>
      <c r="K12" s="56">
        <f t="shared" si="2"/>
        <v>50000</v>
      </c>
      <c r="L12" s="53">
        <v>0</v>
      </c>
      <c r="M12" s="53">
        <v>0</v>
      </c>
      <c r="N12" s="53">
        <f t="shared" si="3"/>
        <v>0</v>
      </c>
      <c r="O12" s="55">
        <v>0</v>
      </c>
      <c r="P12" s="53">
        <v>0</v>
      </c>
      <c r="Q12" s="56">
        <f t="shared" si="4"/>
        <v>0</v>
      </c>
      <c r="R12" s="53">
        <v>0</v>
      </c>
      <c r="S12" s="53">
        <v>0</v>
      </c>
      <c r="T12" s="54">
        <f t="shared" si="5"/>
        <v>0</v>
      </c>
      <c r="U12" s="52">
        <v>0</v>
      </c>
      <c r="V12" s="53">
        <v>0</v>
      </c>
      <c r="W12" s="54">
        <f t="shared" si="6"/>
        <v>0</v>
      </c>
      <c r="X12" s="11"/>
      <c r="Y12" s="11"/>
      <c r="Z12" s="11"/>
      <c r="AA12" s="11"/>
      <c r="AB12" s="11"/>
      <c r="AC12" s="11"/>
      <c r="AD12" s="6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3" ht="11.25">
      <c r="A13" s="48">
        <v>7</v>
      </c>
      <c r="B13" s="48" t="s">
        <v>46</v>
      </c>
      <c r="C13" s="49">
        <f>500000-500000</f>
        <v>0</v>
      </c>
      <c r="D13" s="44">
        <f>375000+125000-500000+500000</f>
        <v>500000</v>
      </c>
      <c r="E13" s="50">
        <f t="shared" si="0"/>
        <v>500000</v>
      </c>
      <c r="F13" s="49">
        <v>100000</v>
      </c>
      <c r="G13" s="44">
        <v>0</v>
      </c>
      <c r="H13" s="50">
        <f t="shared" si="1"/>
        <v>100000</v>
      </c>
      <c r="I13" s="44">
        <v>0</v>
      </c>
      <c r="J13" s="44">
        <v>0</v>
      </c>
      <c r="K13" s="47">
        <f t="shared" si="2"/>
        <v>0</v>
      </c>
      <c r="L13" s="44">
        <v>0</v>
      </c>
      <c r="M13" s="44">
        <v>0</v>
      </c>
      <c r="N13" s="47">
        <f t="shared" si="3"/>
        <v>0</v>
      </c>
      <c r="O13" s="44">
        <v>0</v>
      </c>
      <c r="P13" s="44">
        <v>0</v>
      </c>
      <c r="Q13" s="47">
        <f t="shared" si="4"/>
        <v>0</v>
      </c>
      <c r="R13" s="44">
        <v>0</v>
      </c>
      <c r="S13" s="44">
        <v>0</v>
      </c>
      <c r="T13" s="50">
        <f t="shared" si="5"/>
        <v>0</v>
      </c>
      <c r="U13" s="15">
        <v>0</v>
      </c>
      <c r="V13" s="11">
        <v>0</v>
      </c>
      <c r="W13" s="16">
        <f t="shared" si="6"/>
        <v>0</v>
      </c>
    </row>
    <row r="14" spans="1:23" ht="11.25">
      <c r="A14" s="48">
        <v>8</v>
      </c>
      <c r="B14" s="48" t="s">
        <v>47</v>
      </c>
      <c r="C14" s="49">
        <f>1400000-1400000</f>
        <v>0</v>
      </c>
      <c r="D14" s="58">
        <f>2000000-256911</f>
        <v>1743089</v>
      </c>
      <c r="E14" s="50">
        <f t="shared" si="0"/>
        <v>1743089</v>
      </c>
      <c r="F14" s="49">
        <f>1400000-1000000</f>
        <v>400000</v>
      </c>
      <c r="G14" s="44">
        <v>0</v>
      </c>
      <c r="H14" s="50">
        <f t="shared" si="1"/>
        <v>400000</v>
      </c>
      <c r="I14" s="44">
        <f>400000+1000000</f>
        <v>1400000</v>
      </c>
      <c r="J14" s="44">
        <v>0</v>
      </c>
      <c r="K14" s="47">
        <f t="shared" si="2"/>
        <v>1400000</v>
      </c>
      <c r="L14" s="44">
        <f>1400000-1000000</f>
        <v>400000</v>
      </c>
      <c r="M14" s="44">
        <v>0</v>
      </c>
      <c r="N14" s="47">
        <f t="shared" si="3"/>
        <v>400000</v>
      </c>
      <c r="O14" s="44">
        <f>400000+1000000</f>
        <v>1400000</v>
      </c>
      <c r="P14" s="44">
        <v>0</v>
      </c>
      <c r="Q14" s="47">
        <f t="shared" si="4"/>
        <v>1400000</v>
      </c>
      <c r="R14" s="44">
        <f>1400000-1000000</f>
        <v>400000</v>
      </c>
      <c r="S14" s="44">
        <v>0</v>
      </c>
      <c r="T14" s="50">
        <f t="shared" si="5"/>
        <v>400000</v>
      </c>
      <c r="U14" s="15">
        <v>0</v>
      </c>
      <c r="V14" s="11">
        <v>0</v>
      </c>
      <c r="W14" s="16">
        <f t="shared" si="6"/>
        <v>0</v>
      </c>
    </row>
    <row r="15" spans="1:256" s="19" customFormat="1" ht="11.25">
      <c r="A15" s="51">
        <v>9</v>
      </c>
      <c r="B15" s="61" t="s">
        <v>48</v>
      </c>
      <c r="C15" s="52">
        <f>1040000-240000+140000</f>
        <v>940000</v>
      </c>
      <c r="D15" s="53">
        <v>0</v>
      </c>
      <c r="E15" s="54">
        <f t="shared" si="0"/>
        <v>940000</v>
      </c>
      <c r="F15" s="52">
        <f>300000-300000</f>
        <v>0</v>
      </c>
      <c r="G15" s="53">
        <v>0</v>
      </c>
      <c r="H15" s="54">
        <f t="shared" si="1"/>
        <v>0</v>
      </c>
      <c r="I15" s="53">
        <f>300000-300000</f>
        <v>0</v>
      </c>
      <c r="J15" s="53">
        <v>0</v>
      </c>
      <c r="K15" s="56">
        <f t="shared" si="2"/>
        <v>0</v>
      </c>
      <c r="L15" s="53">
        <f>300000-300000</f>
        <v>0</v>
      </c>
      <c r="M15" s="53">
        <v>0</v>
      </c>
      <c r="N15" s="53">
        <f t="shared" si="3"/>
        <v>0</v>
      </c>
      <c r="O15" s="55">
        <f>300000-300000</f>
        <v>0</v>
      </c>
      <c r="P15" s="53">
        <v>0</v>
      </c>
      <c r="Q15" s="56">
        <f t="shared" si="4"/>
        <v>0</v>
      </c>
      <c r="R15" s="53">
        <f>300000-300000</f>
        <v>0</v>
      </c>
      <c r="S15" s="53">
        <v>0</v>
      </c>
      <c r="T15" s="54">
        <f t="shared" si="5"/>
        <v>0</v>
      </c>
      <c r="U15" s="52">
        <v>0</v>
      </c>
      <c r="V15" s="53">
        <v>0</v>
      </c>
      <c r="W15" s="54">
        <f t="shared" si="6"/>
        <v>0</v>
      </c>
      <c r="X15" s="11"/>
      <c r="Y15" s="11"/>
      <c r="Z15" s="11"/>
      <c r="AA15" s="11"/>
      <c r="AB15" s="11"/>
      <c r="AC15" s="11"/>
      <c r="AD15" s="6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3" ht="11.25">
      <c r="A16" s="48">
        <v>10</v>
      </c>
      <c r="B16" s="48" t="s">
        <v>49</v>
      </c>
      <c r="C16" s="49">
        <v>0</v>
      </c>
      <c r="D16" s="44">
        <v>525000</v>
      </c>
      <c r="E16" s="50">
        <f t="shared" si="0"/>
        <v>525000</v>
      </c>
      <c r="F16" s="49">
        <v>0</v>
      </c>
      <c r="G16" s="44"/>
      <c r="H16" s="50">
        <f t="shared" si="1"/>
        <v>0</v>
      </c>
      <c r="I16" s="44">
        <v>0</v>
      </c>
      <c r="J16" s="44">
        <v>0</v>
      </c>
      <c r="K16" s="47">
        <f t="shared" si="2"/>
        <v>0</v>
      </c>
      <c r="L16" s="44">
        <v>0</v>
      </c>
      <c r="M16" s="44">
        <v>0</v>
      </c>
      <c r="N16" s="44">
        <f t="shared" si="3"/>
        <v>0</v>
      </c>
      <c r="O16" s="46">
        <v>0</v>
      </c>
      <c r="P16" s="44">
        <v>0</v>
      </c>
      <c r="Q16" s="47">
        <f t="shared" si="4"/>
        <v>0</v>
      </c>
      <c r="R16" s="44">
        <v>0</v>
      </c>
      <c r="S16" s="44">
        <v>0</v>
      </c>
      <c r="T16" s="50">
        <f t="shared" si="5"/>
        <v>0</v>
      </c>
      <c r="U16" s="15">
        <v>0</v>
      </c>
      <c r="V16" s="11">
        <v>0</v>
      </c>
      <c r="W16" s="16">
        <f t="shared" si="6"/>
        <v>0</v>
      </c>
    </row>
    <row r="17" spans="1:23" ht="11.25">
      <c r="A17" s="48">
        <v>11</v>
      </c>
      <c r="B17" s="48" t="s">
        <v>50</v>
      </c>
      <c r="C17" s="49">
        <f>240000-140000</f>
        <v>100000</v>
      </c>
      <c r="D17" s="44">
        <v>0</v>
      </c>
      <c r="E17" s="50">
        <f t="shared" si="0"/>
        <v>100000</v>
      </c>
      <c r="F17" s="49">
        <v>240000</v>
      </c>
      <c r="G17" s="44">
        <v>0</v>
      </c>
      <c r="H17" s="50">
        <f t="shared" si="1"/>
        <v>240000</v>
      </c>
      <c r="I17" s="44">
        <v>240000</v>
      </c>
      <c r="J17" s="44">
        <v>0</v>
      </c>
      <c r="K17" s="47">
        <f t="shared" si="2"/>
        <v>240000</v>
      </c>
      <c r="L17" s="44">
        <v>240000</v>
      </c>
      <c r="M17" s="44">
        <v>0</v>
      </c>
      <c r="N17" s="44">
        <f t="shared" si="3"/>
        <v>240000</v>
      </c>
      <c r="O17" s="46">
        <v>240000</v>
      </c>
      <c r="P17" s="44">
        <v>0</v>
      </c>
      <c r="Q17" s="47">
        <f t="shared" si="4"/>
        <v>240000</v>
      </c>
      <c r="R17" s="44">
        <v>240000</v>
      </c>
      <c r="S17" s="44">
        <v>0</v>
      </c>
      <c r="T17" s="50">
        <f t="shared" si="5"/>
        <v>240000</v>
      </c>
      <c r="U17" s="15">
        <v>0</v>
      </c>
      <c r="V17" s="11">
        <v>0</v>
      </c>
      <c r="W17" s="16">
        <f t="shared" si="6"/>
        <v>0</v>
      </c>
    </row>
    <row r="18" spans="1:256" s="19" customFormat="1" ht="11.25">
      <c r="A18" s="51">
        <v>12</v>
      </c>
      <c r="B18" s="61" t="s">
        <v>51</v>
      </c>
      <c r="C18" s="52">
        <f>400000-400000</f>
        <v>0</v>
      </c>
      <c r="D18" s="53">
        <f>839600+400000</f>
        <v>1239600</v>
      </c>
      <c r="E18" s="54">
        <f t="shared" si="0"/>
        <v>1239600</v>
      </c>
      <c r="F18" s="52">
        <f>1600000-1600000</f>
        <v>0</v>
      </c>
      <c r="G18" s="53">
        <v>0</v>
      </c>
      <c r="H18" s="54">
        <f t="shared" si="1"/>
        <v>0</v>
      </c>
      <c r="I18" s="53">
        <v>0</v>
      </c>
      <c r="J18" s="53">
        <v>0</v>
      </c>
      <c r="K18" s="56">
        <f t="shared" si="2"/>
        <v>0</v>
      </c>
      <c r="L18" s="53">
        <v>0</v>
      </c>
      <c r="M18" s="53">
        <v>0</v>
      </c>
      <c r="N18" s="53">
        <f t="shared" si="3"/>
        <v>0</v>
      </c>
      <c r="O18" s="55">
        <v>0</v>
      </c>
      <c r="P18" s="53">
        <v>0</v>
      </c>
      <c r="Q18" s="56">
        <f t="shared" si="4"/>
        <v>0</v>
      </c>
      <c r="R18" s="53">
        <v>0</v>
      </c>
      <c r="S18" s="53">
        <v>0</v>
      </c>
      <c r="T18" s="54">
        <f t="shared" si="5"/>
        <v>0</v>
      </c>
      <c r="U18" s="52">
        <v>0</v>
      </c>
      <c r="V18" s="53">
        <v>0</v>
      </c>
      <c r="W18" s="54">
        <f t="shared" si="6"/>
        <v>0</v>
      </c>
      <c r="X18" s="11"/>
      <c r="Y18" s="11"/>
      <c r="Z18" s="11"/>
      <c r="AA18" s="11"/>
      <c r="AB18" s="11"/>
      <c r="AC18" s="11"/>
      <c r="AD18" s="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3" ht="11.25">
      <c r="A19" s="48">
        <v>13</v>
      </c>
      <c r="B19" s="48" t="s">
        <v>52</v>
      </c>
      <c r="C19" s="49">
        <v>0</v>
      </c>
      <c r="D19" s="44">
        <v>300000</v>
      </c>
      <c r="E19" s="50">
        <f t="shared" si="0"/>
        <v>300000</v>
      </c>
      <c r="F19" s="49">
        <f>1800000-1800000</f>
        <v>0</v>
      </c>
      <c r="G19" s="44">
        <v>0</v>
      </c>
      <c r="H19" s="50">
        <f t="shared" si="1"/>
        <v>0</v>
      </c>
      <c r="I19" s="44">
        <v>0</v>
      </c>
      <c r="J19" s="44">
        <v>0</v>
      </c>
      <c r="K19" s="47">
        <f t="shared" si="2"/>
        <v>0</v>
      </c>
      <c r="L19" s="44">
        <v>0</v>
      </c>
      <c r="M19" s="44">
        <v>0</v>
      </c>
      <c r="N19" s="44">
        <f t="shared" si="3"/>
        <v>0</v>
      </c>
      <c r="O19" s="46">
        <v>0</v>
      </c>
      <c r="P19" s="44">
        <v>0</v>
      </c>
      <c r="Q19" s="47">
        <f t="shared" si="4"/>
        <v>0</v>
      </c>
      <c r="R19" s="44">
        <v>0</v>
      </c>
      <c r="S19" s="44">
        <v>0</v>
      </c>
      <c r="T19" s="50">
        <f t="shared" si="5"/>
        <v>0</v>
      </c>
      <c r="U19" s="15">
        <v>0</v>
      </c>
      <c r="V19" s="11">
        <v>0</v>
      </c>
      <c r="W19" s="16">
        <f t="shared" si="6"/>
        <v>0</v>
      </c>
    </row>
    <row r="20" spans="1:23" ht="11.25">
      <c r="A20" s="48">
        <v>14</v>
      </c>
      <c r="B20" s="48" t="s">
        <v>53</v>
      </c>
      <c r="C20" s="49">
        <v>0</v>
      </c>
      <c r="D20" s="44">
        <v>425000</v>
      </c>
      <c r="E20" s="50">
        <f t="shared" si="0"/>
        <v>425000</v>
      </c>
      <c r="F20" s="49">
        <v>0</v>
      </c>
      <c r="G20" s="44">
        <v>0</v>
      </c>
      <c r="H20" s="50">
        <f t="shared" si="1"/>
        <v>0</v>
      </c>
      <c r="I20" s="44">
        <v>0</v>
      </c>
      <c r="J20" s="44">
        <v>0</v>
      </c>
      <c r="K20" s="47">
        <f t="shared" si="2"/>
        <v>0</v>
      </c>
      <c r="L20" s="46">
        <v>0</v>
      </c>
      <c r="M20" s="44">
        <v>0</v>
      </c>
      <c r="N20" s="44">
        <f t="shared" si="3"/>
        <v>0</v>
      </c>
      <c r="O20" s="46">
        <v>0</v>
      </c>
      <c r="P20" s="44">
        <v>0</v>
      </c>
      <c r="Q20" s="47">
        <f t="shared" si="4"/>
        <v>0</v>
      </c>
      <c r="R20" s="46">
        <v>0</v>
      </c>
      <c r="S20" s="44">
        <v>0</v>
      </c>
      <c r="T20" s="50">
        <f t="shared" si="5"/>
        <v>0</v>
      </c>
      <c r="U20" s="15">
        <v>0</v>
      </c>
      <c r="V20" s="11">
        <v>0</v>
      </c>
      <c r="W20" s="16">
        <f t="shared" si="6"/>
        <v>0</v>
      </c>
    </row>
    <row r="21" spans="1:256" s="19" customFormat="1" ht="11.25">
      <c r="A21" s="51">
        <v>15</v>
      </c>
      <c r="B21" s="61" t="s">
        <v>54</v>
      </c>
      <c r="C21" s="52">
        <f>1240000-1040000+156490-156490+50000</f>
        <v>250000</v>
      </c>
      <c r="D21" s="53">
        <v>0</v>
      </c>
      <c r="E21" s="54">
        <f>SUM(C21:D21)</f>
        <v>250000</v>
      </c>
      <c r="F21" s="52">
        <v>400000</v>
      </c>
      <c r="G21" s="53">
        <v>0</v>
      </c>
      <c r="H21" s="54">
        <f>SUM(F21:G21)</f>
        <v>400000</v>
      </c>
      <c r="I21" s="53">
        <v>400000</v>
      </c>
      <c r="J21" s="53">
        <v>0</v>
      </c>
      <c r="K21" s="56">
        <f>SUM(I21:J21)</f>
        <v>400000</v>
      </c>
      <c r="L21" s="53">
        <v>150000</v>
      </c>
      <c r="M21" s="53">
        <v>0</v>
      </c>
      <c r="N21" s="53">
        <f>SUM(L21:M21)</f>
        <v>150000</v>
      </c>
      <c r="O21" s="55">
        <v>150000</v>
      </c>
      <c r="P21" s="53">
        <v>0</v>
      </c>
      <c r="Q21" s="56">
        <f>SUM(O21:P21)</f>
        <v>150000</v>
      </c>
      <c r="R21" s="53">
        <v>150000</v>
      </c>
      <c r="S21" s="53">
        <v>0</v>
      </c>
      <c r="T21" s="54">
        <f>SUM(R21:S21)</f>
        <v>150000</v>
      </c>
      <c r="U21" s="52">
        <v>0</v>
      </c>
      <c r="V21" s="53">
        <v>0</v>
      </c>
      <c r="W21" s="54">
        <f t="shared" si="6"/>
        <v>0</v>
      </c>
      <c r="X21" s="11"/>
      <c r="Y21" s="11"/>
      <c r="Z21" s="11"/>
      <c r="AA21" s="11"/>
      <c r="AB21" s="11"/>
      <c r="AC21" s="11"/>
      <c r="AD21" s="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3" ht="11.25">
      <c r="A22" s="48">
        <v>16</v>
      </c>
      <c r="B22" s="48" t="s">
        <v>55</v>
      </c>
      <c r="C22" s="49">
        <v>100000</v>
      </c>
      <c r="D22" s="44">
        <v>0</v>
      </c>
      <c r="E22" s="50">
        <f>SUM(C22:D22)</f>
        <v>100000</v>
      </c>
      <c r="F22" s="49">
        <v>50000</v>
      </c>
      <c r="G22" s="44">
        <v>0</v>
      </c>
      <c r="H22" s="50">
        <f>SUM(F22:G22)</f>
        <v>50000</v>
      </c>
      <c r="I22" s="44">
        <v>50000</v>
      </c>
      <c r="J22" s="44">
        <v>0</v>
      </c>
      <c r="K22" s="47">
        <f>SUM(I22:J22)</f>
        <v>50000</v>
      </c>
      <c r="L22" s="46">
        <v>50000</v>
      </c>
      <c r="M22" s="44">
        <v>0</v>
      </c>
      <c r="N22" s="44">
        <f>SUM(L22:M22)</f>
        <v>50000</v>
      </c>
      <c r="O22" s="46">
        <v>50000</v>
      </c>
      <c r="P22" s="44">
        <v>0</v>
      </c>
      <c r="Q22" s="47">
        <f>SUM(O22:P22)</f>
        <v>50000</v>
      </c>
      <c r="R22" s="46">
        <v>50000</v>
      </c>
      <c r="S22" s="44">
        <v>0</v>
      </c>
      <c r="T22" s="50">
        <f>SUM(R22:S22)</f>
        <v>50000</v>
      </c>
      <c r="U22" s="15">
        <v>0</v>
      </c>
      <c r="V22" s="11">
        <v>0</v>
      </c>
      <c r="W22" s="16">
        <f t="shared" si="6"/>
        <v>0</v>
      </c>
    </row>
    <row r="23" spans="1:23" ht="11.25">
      <c r="A23" s="48">
        <v>17</v>
      </c>
      <c r="B23" s="48" t="s">
        <v>56</v>
      </c>
      <c r="C23" s="49">
        <v>340000</v>
      </c>
      <c r="D23" s="44">
        <v>0</v>
      </c>
      <c r="E23" s="50">
        <f>SUM(C23:D23)</f>
        <v>340000</v>
      </c>
      <c r="F23" s="49">
        <v>0</v>
      </c>
      <c r="G23" s="44">
        <v>0</v>
      </c>
      <c r="H23" s="50">
        <f>SUM(F23:G23)</f>
        <v>0</v>
      </c>
      <c r="I23" s="44">
        <v>0</v>
      </c>
      <c r="J23" s="44">
        <v>0</v>
      </c>
      <c r="K23" s="47">
        <f>SUM(I23:J23)</f>
        <v>0</v>
      </c>
      <c r="L23" s="46">
        <v>0</v>
      </c>
      <c r="M23" s="44">
        <v>0</v>
      </c>
      <c r="N23" s="44">
        <f>SUM(L23:M23)</f>
        <v>0</v>
      </c>
      <c r="O23" s="46">
        <v>0</v>
      </c>
      <c r="P23" s="44">
        <v>0</v>
      </c>
      <c r="Q23" s="47">
        <f>SUM(O23:P23)</f>
        <v>0</v>
      </c>
      <c r="R23" s="46">
        <v>0</v>
      </c>
      <c r="S23" s="44">
        <v>0</v>
      </c>
      <c r="T23" s="50">
        <f>SUM(R23:S23)</f>
        <v>0</v>
      </c>
      <c r="U23" s="15">
        <v>0</v>
      </c>
      <c r="V23" s="11">
        <v>0</v>
      </c>
      <c r="W23" s="16">
        <f t="shared" si="6"/>
        <v>0</v>
      </c>
    </row>
    <row r="24" spans="1:256" s="19" customFormat="1" ht="11.25">
      <c r="A24" s="51">
        <v>18</v>
      </c>
      <c r="B24" s="61" t="s">
        <v>57</v>
      </c>
      <c r="C24" s="52">
        <f>400000-350000+9202-9202+350000</f>
        <v>400000</v>
      </c>
      <c r="D24" s="53">
        <v>0</v>
      </c>
      <c r="E24" s="54">
        <f aca="true" t="shared" si="7" ref="E24:E32">SUM(C24:D24)</f>
        <v>400000</v>
      </c>
      <c r="F24" s="52">
        <v>50000</v>
      </c>
      <c r="G24" s="53">
        <v>0</v>
      </c>
      <c r="H24" s="54">
        <f t="shared" si="1"/>
        <v>50000</v>
      </c>
      <c r="I24" s="53">
        <v>50000</v>
      </c>
      <c r="J24" s="53">
        <v>0</v>
      </c>
      <c r="K24" s="56">
        <f t="shared" si="2"/>
        <v>50000</v>
      </c>
      <c r="L24" s="53">
        <v>50000</v>
      </c>
      <c r="M24" s="53">
        <v>0</v>
      </c>
      <c r="N24" s="53">
        <f t="shared" si="3"/>
        <v>50000</v>
      </c>
      <c r="O24" s="55">
        <v>50000</v>
      </c>
      <c r="P24" s="53">
        <v>0</v>
      </c>
      <c r="Q24" s="56">
        <f t="shared" si="4"/>
        <v>50000</v>
      </c>
      <c r="R24" s="53">
        <v>50000</v>
      </c>
      <c r="S24" s="53">
        <v>0</v>
      </c>
      <c r="T24" s="54">
        <f t="shared" si="5"/>
        <v>50000</v>
      </c>
      <c r="U24" s="52">
        <v>0</v>
      </c>
      <c r="V24" s="53">
        <v>0</v>
      </c>
      <c r="W24" s="54">
        <f aca="true" t="shared" si="8" ref="W24:W34">U24+V24</f>
        <v>0</v>
      </c>
      <c r="X24" s="11"/>
      <c r="Y24" s="11"/>
      <c r="Z24" s="11"/>
      <c r="AA24" s="11"/>
      <c r="AB24" s="11"/>
      <c r="AC24" s="11"/>
      <c r="AD24" s="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4" ht="11.25">
      <c r="A25" s="48">
        <v>19</v>
      </c>
      <c r="B25" s="48" t="s">
        <v>58</v>
      </c>
      <c r="C25" s="49">
        <f>250000-250000</f>
        <v>0</v>
      </c>
      <c r="D25" s="44">
        <v>0</v>
      </c>
      <c r="E25" s="50">
        <f>SUM(C25:D25)</f>
        <v>0</v>
      </c>
      <c r="F25" s="49">
        <v>0</v>
      </c>
      <c r="G25" s="44">
        <v>0</v>
      </c>
      <c r="H25" s="50">
        <f t="shared" si="1"/>
        <v>0</v>
      </c>
      <c r="I25" s="57">
        <v>0</v>
      </c>
      <c r="J25" s="44">
        <v>0</v>
      </c>
      <c r="K25" s="47">
        <f t="shared" si="2"/>
        <v>0</v>
      </c>
      <c r="L25" s="57">
        <v>0</v>
      </c>
      <c r="M25" s="44">
        <v>0</v>
      </c>
      <c r="N25" s="47">
        <f t="shared" si="3"/>
        <v>0</v>
      </c>
      <c r="O25" s="57">
        <v>0</v>
      </c>
      <c r="P25" s="44">
        <v>0</v>
      </c>
      <c r="Q25" s="47">
        <f t="shared" si="4"/>
        <v>0</v>
      </c>
      <c r="R25" s="57">
        <v>0</v>
      </c>
      <c r="S25" s="44">
        <v>0</v>
      </c>
      <c r="T25" s="50">
        <f t="shared" si="5"/>
        <v>0</v>
      </c>
      <c r="U25" s="15">
        <v>0</v>
      </c>
      <c r="V25" s="11">
        <v>0</v>
      </c>
      <c r="W25" s="16">
        <f t="shared" si="8"/>
        <v>0</v>
      </c>
      <c r="X25" s="6"/>
    </row>
    <row r="26" spans="1:24" ht="11.25">
      <c r="A26" s="48">
        <v>20</v>
      </c>
      <c r="B26" s="48" t="s">
        <v>59</v>
      </c>
      <c r="C26" s="49">
        <v>3200000</v>
      </c>
      <c r="D26" s="44">
        <v>0</v>
      </c>
      <c r="E26" s="50">
        <f t="shared" si="7"/>
        <v>3200000</v>
      </c>
      <c r="F26" s="49">
        <v>0</v>
      </c>
      <c r="G26" s="44">
        <v>0</v>
      </c>
      <c r="H26" s="50">
        <f t="shared" si="1"/>
        <v>0</v>
      </c>
      <c r="I26" s="44">
        <v>0</v>
      </c>
      <c r="J26" s="44">
        <v>0</v>
      </c>
      <c r="K26" s="47">
        <f t="shared" si="2"/>
        <v>0</v>
      </c>
      <c r="L26" s="44">
        <v>0</v>
      </c>
      <c r="M26" s="44">
        <v>0</v>
      </c>
      <c r="N26" s="47">
        <f t="shared" si="3"/>
        <v>0</v>
      </c>
      <c r="O26" s="44">
        <v>0</v>
      </c>
      <c r="P26" s="44">
        <v>0</v>
      </c>
      <c r="Q26" s="47">
        <f t="shared" si="4"/>
        <v>0</v>
      </c>
      <c r="R26" s="44">
        <v>0</v>
      </c>
      <c r="S26" s="44">
        <v>0</v>
      </c>
      <c r="T26" s="50">
        <f t="shared" si="5"/>
        <v>0</v>
      </c>
      <c r="U26" s="15">
        <v>0</v>
      </c>
      <c r="V26" s="11">
        <v>0</v>
      </c>
      <c r="W26" s="16">
        <f t="shared" si="8"/>
        <v>0</v>
      </c>
      <c r="X26" s="6"/>
    </row>
    <row r="27" spans="1:256" s="19" customFormat="1" ht="11.25">
      <c r="A27" s="51">
        <v>21</v>
      </c>
      <c r="B27" s="61" t="s">
        <v>60</v>
      </c>
      <c r="C27" s="52">
        <v>250000</v>
      </c>
      <c r="D27" s="53">
        <v>0</v>
      </c>
      <c r="E27" s="54">
        <f t="shared" si="7"/>
        <v>250000</v>
      </c>
      <c r="F27" s="52">
        <v>50000</v>
      </c>
      <c r="G27" s="53">
        <v>0</v>
      </c>
      <c r="H27" s="54">
        <f t="shared" si="1"/>
        <v>50000</v>
      </c>
      <c r="I27" s="53">
        <v>50000</v>
      </c>
      <c r="J27" s="53">
        <v>0</v>
      </c>
      <c r="K27" s="56">
        <f t="shared" si="2"/>
        <v>50000</v>
      </c>
      <c r="L27" s="53">
        <v>50000</v>
      </c>
      <c r="M27" s="53">
        <v>0</v>
      </c>
      <c r="N27" s="53">
        <f t="shared" si="3"/>
        <v>50000</v>
      </c>
      <c r="O27" s="55">
        <v>50000</v>
      </c>
      <c r="P27" s="53">
        <v>0</v>
      </c>
      <c r="Q27" s="56">
        <f t="shared" si="4"/>
        <v>50000</v>
      </c>
      <c r="R27" s="53">
        <v>50000</v>
      </c>
      <c r="S27" s="53">
        <v>0</v>
      </c>
      <c r="T27" s="54">
        <f t="shared" si="5"/>
        <v>50000</v>
      </c>
      <c r="U27" s="52">
        <v>0</v>
      </c>
      <c r="V27" s="53">
        <v>0</v>
      </c>
      <c r="W27" s="54">
        <f t="shared" si="8"/>
        <v>0</v>
      </c>
      <c r="X27" s="11"/>
      <c r="Y27" s="11"/>
      <c r="Z27" s="11"/>
      <c r="AA27" s="11"/>
      <c r="AB27" s="11"/>
      <c r="AC27" s="11"/>
      <c r="AD27" s="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4" ht="11.25">
      <c r="A28" s="48">
        <v>22</v>
      </c>
      <c r="B28" s="48" t="s">
        <v>61</v>
      </c>
      <c r="C28" s="49">
        <v>0</v>
      </c>
      <c r="D28" s="44">
        <v>0</v>
      </c>
      <c r="E28" s="50">
        <f t="shared" si="7"/>
        <v>0</v>
      </c>
      <c r="F28" s="49">
        <v>0</v>
      </c>
      <c r="G28" s="44">
        <v>0</v>
      </c>
      <c r="H28" s="50">
        <f t="shared" si="1"/>
        <v>0</v>
      </c>
      <c r="I28" s="44">
        <v>0</v>
      </c>
      <c r="J28" s="44">
        <v>0</v>
      </c>
      <c r="K28" s="47">
        <f t="shared" si="2"/>
        <v>0</v>
      </c>
      <c r="L28" s="44">
        <v>0</v>
      </c>
      <c r="M28" s="44">
        <v>0</v>
      </c>
      <c r="N28" s="47">
        <f t="shared" si="3"/>
        <v>0</v>
      </c>
      <c r="O28" s="44">
        <v>0</v>
      </c>
      <c r="P28" s="44">
        <v>0</v>
      </c>
      <c r="Q28" s="47">
        <f t="shared" si="4"/>
        <v>0</v>
      </c>
      <c r="R28" s="44">
        <v>0</v>
      </c>
      <c r="S28" s="44">
        <v>0</v>
      </c>
      <c r="T28" s="50">
        <f t="shared" si="5"/>
        <v>0</v>
      </c>
      <c r="U28" s="15">
        <v>0</v>
      </c>
      <c r="V28" s="11">
        <v>0</v>
      </c>
      <c r="W28" s="16">
        <f t="shared" si="8"/>
        <v>0</v>
      </c>
      <c r="X28" s="6"/>
    </row>
    <row r="29" spans="1:24" ht="11.25">
      <c r="A29" s="48">
        <v>23</v>
      </c>
      <c r="B29" s="48" t="s">
        <v>62</v>
      </c>
      <c r="C29" s="49">
        <v>0</v>
      </c>
      <c r="D29" s="44">
        <v>0</v>
      </c>
      <c r="E29" s="50">
        <f t="shared" si="7"/>
        <v>0</v>
      </c>
      <c r="F29" s="49">
        <v>0</v>
      </c>
      <c r="G29" s="44">
        <v>0</v>
      </c>
      <c r="H29" s="50">
        <f t="shared" si="1"/>
        <v>0</v>
      </c>
      <c r="I29" s="44">
        <v>0</v>
      </c>
      <c r="J29" s="44">
        <v>0</v>
      </c>
      <c r="K29" s="47">
        <f t="shared" si="2"/>
        <v>0</v>
      </c>
      <c r="L29" s="44">
        <v>0</v>
      </c>
      <c r="M29" s="44">
        <v>0</v>
      </c>
      <c r="N29" s="47">
        <f t="shared" si="3"/>
        <v>0</v>
      </c>
      <c r="O29" s="44">
        <v>0</v>
      </c>
      <c r="P29" s="44">
        <v>0</v>
      </c>
      <c r="Q29" s="47">
        <f t="shared" si="4"/>
        <v>0</v>
      </c>
      <c r="R29" s="44">
        <v>0</v>
      </c>
      <c r="S29" s="44">
        <v>0</v>
      </c>
      <c r="T29" s="50">
        <f t="shared" si="5"/>
        <v>0</v>
      </c>
      <c r="U29" s="15">
        <v>0</v>
      </c>
      <c r="V29" s="11">
        <v>0</v>
      </c>
      <c r="W29" s="16">
        <f t="shared" si="8"/>
        <v>0</v>
      </c>
      <c r="X29" s="6"/>
    </row>
    <row r="30" spans="1:24" ht="11.25">
      <c r="A30" s="51">
        <v>24</v>
      </c>
      <c r="B30" s="51" t="s">
        <v>63</v>
      </c>
      <c r="C30" s="52">
        <v>0</v>
      </c>
      <c r="D30" s="53">
        <v>0</v>
      </c>
      <c r="E30" s="54">
        <f t="shared" si="7"/>
        <v>0</v>
      </c>
      <c r="F30" s="52">
        <v>0</v>
      </c>
      <c r="G30" s="53">
        <v>0</v>
      </c>
      <c r="H30" s="54">
        <f t="shared" si="1"/>
        <v>0</v>
      </c>
      <c r="I30" s="53">
        <v>0</v>
      </c>
      <c r="J30" s="53">
        <v>0</v>
      </c>
      <c r="K30" s="56">
        <f t="shared" si="2"/>
        <v>0</v>
      </c>
      <c r="L30" s="53">
        <v>0</v>
      </c>
      <c r="M30" s="53">
        <v>0</v>
      </c>
      <c r="N30" s="56">
        <f t="shared" si="3"/>
        <v>0</v>
      </c>
      <c r="O30" s="53">
        <v>0</v>
      </c>
      <c r="P30" s="53">
        <v>0</v>
      </c>
      <c r="Q30" s="56">
        <f t="shared" si="4"/>
        <v>0</v>
      </c>
      <c r="R30" s="55">
        <v>0</v>
      </c>
      <c r="S30" s="53">
        <v>0</v>
      </c>
      <c r="T30" s="54">
        <f t="shared" si="5"/>
        <v>0</v>
      </c>
      <c r="U30" s="52">
        <v>0</v>
      </c>
      <c r="V30" s="53">
        <v>0</v>
      </c>
      <c r="W30" s="54">
        <f t="shared" si="8"/>
        <v>0</v>
      </c>
      <c r="X30" s="6"/>
    </row>
    <row r="31" spans="1:24" ht="11.25">
      <c r="A31" s="48">
        <v>25</v>
      </c>
      <c r="B31" s="48" t="s">
        <v>64</v>
      </c>
      <c r="C31" s="49">
        <f>270000-270000</f>
        <v>0</v>
      </c>
      <c r="D31" s="44">
        <v>270000</v>
      </c>
      <c r="E31" s="50">
        <f t="shared" si="7"/>
        <v>270000</v>
      </c>
      <c r="F31" s="49">
        <v>300000</v>
      </c>
      <c r="G31" s="44">
        <v>0</v>
      </c>
      <c r="H31" s="50">
        <f t="shared" si="1"/>
        <v>300000</v>
      </c>
      <c r="I31" s="44">
        <v>300000</v>
      </c>
      <c r="J31" s="44">
        <v>0</v>
      </c>
      <c r="K31" s="47">
        <f t="shared" si="2"/>
        <v>300000</v>
      </c>
      <c r="L31" s="44">
        <v>300000</v>
      </c>
      <c r="M31" s="44">
        <v>0</v>
      </c>
      <c r="N31" s="47">
        <f t="shared" si="3"/>
        <v>300000</v>
      </c>
      <c r="O31" s="44">
        <v>300000</v>
      </c>
      <c r="P31" s="44">
        <v>0</v>
      </c>
      <c r="Q31" s="47">
        <f t="shared" si="4"/>
        <v>300000</v>
      </c>
      <c r="R31" s="44">
        <v>300000</v>
      </c>
      <c r="S31" s="44">
        <v>0</v>
      </c>
      <c r="T31" s="50">
        <f t="shared" si="5"/>
        <v>300000</v>
      </c>
      <c r="U31" s="15">
        <v>0</v>
      </c>
      <c r="V31" s="11">
        <v>0</v>
      </c>
      <c r="W31" s="16">
        <f t="shared" si="8"/>
        <v>0</v>
      </c>
      <c r="X31" s="6"/>
    </row>
    <row r="32" spans="1:24" ht="11.25">
      <c r="A32" s="48">
        <v>26</v>
      </c>
      <c r="B32" s="48" t="s">
        <v>65</v>
      </c>
      <c r="C32" s="49">
        <f>175000-175000</f>
        <v>0</v>
      </c>
      <c r="D32" s="44">
        <v>175000</v>
      </c>
      <c r="E32" s="50">
        <f t="shared" si="7"/>
        <v>175000</v>
      </c>
      <c r="F32" s="49">
        <v>0</v>
      </c>
      <c r="G32" s="44">
        <v>0</v>
      </c>
      <c r="H32" s="50">
        <f t="shared" si="1"/>
        <v>0</v>
      </c>
      <c r="I32" s="44">
        <v>0</v>
      </c>
      <c r="J32" s="44">
        <v>0</v>
      </c>
      <c r="K32" s="47">
        <f t="shared" si="2"/>
        <v>0</v>
      </c>
      <c r="L32" s="44">
        <v>0</v>
      </c>
      <c r="M32" s="44">
        <v>0</v>
      </c>
      <c r="N32" s="47">
        <f t="shared" si="3"/>
        <v>0</v>
      </c>
      <c r="O32" s="44">
        <v>0</v>
      </c>
      <c r="P32" s="44">
        <v>0</v>
      </c>
      <c r="Q32" s="47">
        <f t="shared" si="4"/>
        <v>0</v>
      </c>
      <c r="R32" s="44">
        <v>0</v>
      </c>
      <c r="S32" s="44">
        <v>0</v>
      </c>
      <c r="T32" s="50">
        <f t="shared" si="5"/>
        <v>0</v>
      </c>
      <c r="U32" s="15">
        <v>0</v>
      </c>
      <c r="V32" s="11">
        <v>0</v>
      </c>
      <c r="W32" s="16">
        <f t="shared" si="8"/>
        <v>0</v>
      </c>
      <c r="X32" s="6"/>
    </row>
    <row r="33" spans="1:24" ht="11.25">
      <c r="A33" s="51">
        <v>27</v>
      </c>
      <c r="B33" s="51" t="s">
        <v>66</v>
      </c>
      <c r="C33" s="52">
        <f>5000000-5000000</f>
        <v>0</v>
      </c>
      <c r="D33" s="53">
        <v>0</v>
      </c>
      <c r="E33" s="53">
        <f>SUM(C33:D33)</f>
        <v>0</v>
      </c>
      <c r="F33" s="52">
        <v>5000000</v>
      </c>
      <c r="G33" s="53">
        <v>0</v>
      </c>
      <c r="H33" s="54">
        <f>SUM(F33:G33)</f>
        <v>5000000</v>
      </c>
      <c r="I33" s="53">
        <v>0</v>
      </c>
      <c r="J33" s="53">
        <v>0</v>
      </c>
      <c r="K33" s="56">
        <f>SUM(I33:J33)</f>
        <v>0</v>
      </c>
      <c r="L33" s="53">
        <v>0</v>
      </c>
      <c r="M33" s="53">
        <v>0</v>
      </c>
      <c r="N33" s="56">
        <f>SUM(L33:M33)</f>
        <v>0</v>
      </c>
      <c r="O33" s="53">
        <v>0</v>
      </c>
      <c r="P33" s="53">
        <v>0</v>
      </c>
      <c r="Q33" s="56">
        <f>SUM(O33:P33)</f>
        <v>0</v>
      </c>
      <c r="R33" s="55">
        <v>0</v>
      </c>
      <c r="S33" s="53">
        <v>0</v>
      </c>
      <c r="T33" s="54">
        <f>SUM(R33:S33)</f>
        <v>0</v>
      </c>
      <c r="U33" s="52">
        <v>0</v>
      </c>
      <c r="V33" s="53">
        <v>0</v>
      </c>
      <c r="W33" s="54">
        <f t="shared" si="8"/>
        <v>0</v>
      </c>
      <c r="X33" s="6"/>
    </row>
    <row r="34" spans="1:24" ht="11.25">
      <c r="A34" s="43">
        <v>28</v>
      </c>
      <c r="B34" s="43" t="s">
        <v>67</v>
      </c>
      <c r="C34" s="49">
        <v>0</v>
      </c>
      <c r="D34" s="60">
        <v>1200000</v>
      </c>
      <c r="E34" s="50">
        <f>SUM(C34:D34)</f>
        <v>1200000</v>
      </c>
      <c r="F34" s="49">
        <v>0</v>
      </c>
      <c r="G34" s="44">
        <v>0</v>
      </c>
      <c r="H34" s="50">
        <f>SUM(F34:G34)</f>
        <v>0</v>
      </c>
      <c r="I34" s="44">
        <v>0</v>
      </c>
      <c r="J34" s="43">
        <v>0</v>
      </c>
      <c r="K34" s="47">
        <f>SUM(I34:J34)</f>
        <v>0</v>
      </c>
      <c r="L34" s="43">
        <v>0</v>
      </c>
      <c r="M34" s="43">
        <v>0</v>
      </c>
      <c r="N34" s="47">
        <f>SUM(L34:M34)</f>
        <v>0</v>
      </c>
      <c r="O34" s="43">
        <v>0</v>
      </c>
      <c r="P34" s="43">
        <v>0</v>
      </c>
      <c r="Q34" s="47">
        <f>SUM(O34:P34)</f>
        <v>0</v>
      </c>
      <c r="R34" s="43">
        <v>0</v>
      </c>
      <c r="S34" s="43">
        <v>0</v>
      </c>
      <c r="T34" s="50">
        <f>SUM(R34:S34)</f>
        <v>0</v>
      </c>
      <c r="U34" s="15">
        <v>0</v>
      </c>
      <c r="V34" s="11">
        <v>0</v>
      </c>
      <c r="W34" s="16">
        <f t="shared" si="8"/>
        <v>0</v>
      </c>
      <c r="X34" s="6"/>
    </row>
    <row r="35" spans="1:24" ht="11.25">
      <c r="A35" s="43">
        <v>29</v>
      </c>
      <c r="B35" s="43" t="s">
        <v>68</v>
      </c>
      <c r="C35" s="59">
        <v>4000000</v>
      </c>
      <c r="D35" s="44">
        <v>0</v>
      </c>
      <c r="E35" s="50">
        <f>SUM(C35:D35)</f>
        <v>4000000</v>
      </c>
      <c r="F35" s="49">
        <v>0</v>
      </c>
      <c r="G35" s="44">
        <v>0</v>
      </c>
      <c r="H35" s="50">
        <f>SUM(F35:G35)</f>
        <v>0</v>
      </c>
      <c r="I35" s="44">
        <v>0</v>
      </c>
      <c r="J35" s="43">
        <v>0</v>
      </c>
      <c r="K35" s="47">
        <f>SUM(I35:J35)</f>
        <v>0</v>
      </c>
      <c r="L35" s="43">
        <v>0</v>
      </c>
      <c r="M35" s="43">
        <v>0</v>
      </c>
      <c r="N35" s="47">
        <f>SUM(L35:M35)</f>
        <v>0</v>
      </c>
      <c r="O35" s="43">
        <v>0</v>
      </c>
      <c r="P35" s="43">
        <v>0</v>
      </c>
      <c r="Q35" s="47">
        <f>SUM(O35:P35)</f>
        <v>0</v>
      </c>
      <c r="R35" s="43">
        <v>0</v>
      </c>
      <c r="S35" s="43">
        <v>0</v>
      </c>
      <c r="T35" s="50">
        <f>SUM(R35:S35)</f>
        <v>0</v>
      </c>
      <c r="U35" s="15">
        <v>0</v>
      </c>
      <c r="V35" s="11">
        <v>0</v>
      </c>
      <c r="W35" s="16">
        <f>U35+V35</f>
        <v>0</v>
      </c>
      <c r="X35" s="6"/>
    </row>
    <row r="36" spans="1:24" ht="11.25">
      <c r="A36" s="51">
        <v>30</v>
      </c>
      <c r="B36" s="51" t="s">
        <v>69</v>
      </c>
      <c r="C36" s="52">
        <v>0</v>
      </c>
      <c r="D36" s="53">
        <v>500000</v>
      </c>
      <c r="E36" s="53">
        <f>SUM(C36:D36)</f>
        <v>500000</v>
      </c>
      <c r="F36" s="52">
        <v>0</v>
      </c>
      <c r="G36" s="53">
        <v>0</v>
      </c>
      <c r="H36" s="54">
        <f>SUM(F36:G36)</f>
        <v>0</v>
      </c>
      <c r="I36" s="53">
        <v>0</v>
      </c>
      <c r="J36" s="53">
        <v>0</v>
      </c>
      <c r="K36" s="56">
        <f>SUM(I36:J36)</f>
        <v>0</v>
      </c>
      <c r="L36" s="53">
        <v>0</v>
      </c>
      <c r="M36" s="53">
        <v>0</v>
      </c>
      <c r="N36" s="56">
        <f>SUM(L36:M36)</f>
        <v>0</v>
      </c>
      <c r="O36" s="53">
        <v>0</v>
      </c>
      <c r="P36" s="53">
        <v>0</v>
      </c>
      <c r="Q36" s="56">
        <f>SUM(O36:P36)</f>
        <v>0</v>
      </c>
      <c r="R36" s="55">
        <v>0</v>
      </c>
      <c r="S36" s="53">
        <v>0</v>
      </c>
      <c r="T36" s="54">
        <f>SUM(R36:S36)</f>
        <v>0</v>
      </c>
      <c r="U36" s="52">
        <v>0</v>
      </c>
      <c r="V36" s="53">
        <v>0</v>
      </c>
      <c r="W36" s="54">
        <f>U36+V36</f>
        <v>0</v>
      </c>
      <c r="X36" s="6"/>
    </row>
    <row r="37" spans="2:31" ht="12" thickBot="1">
      <c r="B37" s="6" t="s">
        <v>3</v>
      </c>
      <c r="C37" s="20">
        <f>SUM(C7:C17)</f>
        <v>1040000</v>
      </c>
      <c r="D37" s="21">
        <f>SUM(D7:D17)</f>
        <v>2873089</v>
      </c>
      <c r="E37" s="21">
        <f>SUM(E7:E17)</f>
        <v>3913089</v>
      </c>
      <c r="F37" s="37">
        <f aca="true" t="shared" si="9" ref="F37:W37">SUM(F7:F36)</f>
        <v>6870000</v>
      </c>
      <c r="G37" s="38">
        <f t="shared" si="9"/>
        <v>0</v>
      </c>
      <c r="H37" s="39">
        <f t="shared" si="9"/>
        <v>6870000</v>
      </c>
      <c r="I37" s="37">
        <f t="shared" si="9"/>
        <v>2745000</v>
      </c>
      <c r="J37" s="38">
        <f t="shared" si="9"/>
        <v>0</v>
      </c>
      <c r="K37" s="39">
        <f t="shared" si="9"/>
        <v>2745000</v>
      </c>
      <c r="L37" s="37">
        <f t="shared" si="9"/>
        <v>1820000</v>
      </c>
      <c r="M37" s="38">
        <f t="shared" si="9"/>
        <v>0</v>
      </c>
      <c r="N37" s="39">
        <f t="shared" si="9"/>
        <v>1820000</v>
      </c>
      <c r="O37" s="37">
        <f t="shared" si="9"/>
        <v>2820000</v>
      </c>
      <c r="P37" s="38">
        <f t="shared" si="9"/>
        <v>0</v>
      </c>
      <c r="Q37" s="39">
        <f t="shared" si="9"/>
        <v>2820000</v>
      </c>
      <c r="R37" s="37">
        <f t="shared" si="9"/>
        <v>1820000</v>
      </c>
      <c r="S37" s="38">
        <f t="shared" si="9"/>
        <v>0</v>
      </c>
      <c r="T37" s="39">
        <f t="shared" si="9"/>
        <v>1820000</v>
      </c>
      <c r="U37" s="37">
        <f t="shared" si="9"/>
        <v>0</v>
      </c>
      <c r="V37" s="38">
        <f t="shared" si="9"/>
        <v>0</v>
      </c>
      <c r="W37" s="39">
        <f t="shared" si="9"/>
        <v>0</v>
      </c>
      <c r="AE37" s="20"/>
    </row>
    <row r="38" spans="2:25" ht="11.25">
      <c r="B38" s="6" t="s">
        <v>24</v>
      </c>
      <c r="F38" s="6">
        <f>F37</f>
        <v>6870000</v>
      </c>
      <c r="I38" s="6">
        <f>F38+I37</f>
        <v>9615000</v>
      </c>
      <c r="K38" s="10"/>
      <c r="L38" s="6">
        <f>I38+L37</f>
        <v>11435000</v>
      </c>
      <c r="O38" s="6">
        <f>L38+O37</f>
        <v>14255000</v>
      </c>
      <c r="R38" s="22">
        <f>O38+R37</f>
        <v>16075000</v>
      </c>
      <c r="S38" s="6" t="s">
        <v>25</v>
      </c>
      <c r="X38" s="11">
        <f>F37+I37+L37+O37+R37</f>
        <v>16075000</v>
      </c>
      <c r="Y38" s="11" t="s">
        <v>8</v>
      </c>
    </row>
    <row r="39" ht="11.25">
      <c r="K39" s="11"/>
    </row>
    <row r="40" ht="12" thickBot="1"/>
    <row r="41" spans="1:26" ht="12.75">
      <c r="A41" s="62"/>
      <c r="B41" s="62"/>
      <c r="C41" s="63"/>
      <c r="D41" s="63"/>
      <c r="E41" s="64"/>
      <c r="F41" s="65" t="s">
        <v>4</v>
      </c>
      <c r="G41" s="66"/>
      <c r="H41" s="67"/>
      <c r="I41" s="66" t="s">
        <v>5</v>
      </c>
      <c r="J41" s="66"/>
      <c r="K41" s="67"/>
      <c r="L41" s="65" t="s">
        <v>6</v>
      </c>
      <c r="M41" s="66"/>
      <c r="N41" s="67"/>
      <c r="O41" s="65" t="s">
        <v>7</v>
      </c>
      <c r="P41" s="66"/>
      <c r="Q41" s="67"/>
      <c r="R41" s="95" t="s">
        <v>16</v>
      </c>
      <c r="S41" s="96"/>
      <c r="T41" s="97"/>
      <c r="U41" s="95" t="s">
        <v>19</v>
      </c>
      <c r="V41" s="96"/>
      <c r="W41" s="97"/>
      <c r="X41" s="95" t="s">
        <v>20</v>
      </c>
      <c r="Y41" s="96"/>
      <c r="Z41" s="97"/>
    </row>
    <row r="42" spans="1:26" ht="15.75" thickBot="1">
      <c r="A42" s="62"/>
      <c r="B42" s="68" t="s">
        <v>18</v>
      </c>
      <c r="C42" s="69"/>
      <c r="D42" s="69"/>
      <c r="E42" s="69"/>
      <c r="F42" s="70" t="s">
        <v>23</v>
      </c>
      <c r="G42" s="71" t="s">
        <v>2</v>
      </c>
      <c r="H42" s="72" t="s">
        <v>0</v>
      </c>
      <c r="I42" s="70" t="s">
        <v>23</v>
      </c>
      <c r="J42" s="71" t="s">
        <v>2</v>
      </c>
      <c r="K42" s="72" t="s">
        <v>0</v>
      </c>
      <c r="L42" s="70" t="s">
        <v>23</v>
      </c>
      <c r="M42" s="71" t="s">
        <v>2</v>
      </c>
      <c r="N42" s="72" t="s">
        <v>0</v>
      </c>
      <c r="O42" s="70" t="s">
        <v>23</v>
      </c>
      <c r="P42" s="71" t="s">
        <v>2</v>
      </c>
      <c r="Q42" s="72" t="s">
        <v>0</v>
      </c>
      <c r="R42" s="70" t="s">
        <v>23</v>
      </c>
      <c r="S42" s="71" t="s">
        <v>2</v>
      </c>
      <c r="T42" s="72" t="s">
        <v>0</v>
      </c>
      <c r="U42" s="70" t="s">
        <v>23</v>
      </c>
      <c r="V42" s="71" t="s">
        <v>2</v>
      </c>
      <c r="W42" s="72" t="s">
        <v>0</v>
      </c>
      <c r="X42" s="70" t="s">
        <v>23</v>
      </c>
      <c r="Y42" s="71" t="s">
        <v>2</v>
      </c>
      <c r="Z42" s="72" t="s">
        <v>0</v>
      </c>
    </row>
    <row r="43" spans="1:26" ht="11.25">
      <c r="A43" s="62"/>
      <c r="B43" s="62"/>
      <c r="C43" s="2"/>
      <c r="D43" s="2"/>
      <c r="E43" s="2"/>
      <c r="F43" s="1"/>
      <c r="G43" s="2"/>
      <c r="H43" s="3"/>
      <c r="I43" s="2"/>
      <c r="J43" s="2"/>
      <c r="K43" s="4"/>
      <c r="L43" s="2"/>
      <c r="M43" s="2"/>
      <c r="N43" s="2"/>
      <c r="O43" s="5"/>
      <c r="P43" s="2"/>
      <c r="Q43" s="4"/>
      <c r="R43" s="2"/>
      <c r="S43" s="2"/>
      <c r="T43" s="3"/>
      <c r="U43" s="1"/>
      <c r="V43" s="2"/>
      <c r="W43" s="3"/>
      <c r="X43" s="1"/>
      <c r="Y43" s="2"/>
      <c r="Z43" s="3"/>
    </row>
    <row r="44" spans="1:26" ht="11.25">
      <c r="A44" s="73" t="str">
        <f>A6</f>
        <v>Planning &amp; Develop:</v>
      </c>
      <c r="B44" s="62"/>
      <c r="C44" s="2"/>
      <c r="D44" s="2"/>
      <c r="E44" s="2"/>
      <c r="F44" s="1"/>
      <c r="G44" s="2"/>
      <c r="H44" s="3"/>
      <c r="I44" s="2"/>
      <c r="J44" s="2"/>
      <c r="K44" s="4"/>
      <c r="L44" s="2"/>
      <c r="M44" s="2"/>
      <c r="N44" s="2"/>
      <c r="O44" s="5"/>
      <c r="P44" s="2"/>
      <c r="Q44" s="4"/>
      <c r="R44" s="2"/>
      <c r="S44" s="2"/>
      <c r="T44" s="3"/>
      <c r="U44" s="1"/>
      <c r="V44" s="2"/>
      <c r="W44" s="3"/>
      <c r="X44" s="1"/>
      <c r="Y44" s="2"/>
      <c r="Z44" s="3"/>
    </row>
    <row r="45" spans="1:26" ht="11.25">
      <c r="A45" s="74">
        <f>A7</f>
        <v>1</v>
      </c>
      <c r="B45" s="74" t="str">
        <f>B7</f>
        <v>Municipal Art Fund</v>
      </c>
      <c r="C45" s="2"/>
      <c r="D45" s="2"/>
      <c r="E45" s="2"/>
      <c r="F45" s="1">
        <v>140000</v>
      </c>
      <c r="G45" s="2">
        <f>G7</f>
        <v>0</v>
      </c>
      <c r="H45" s="3">
        <f aca="true" t="shared" si="10" ref="H45:H55">SUM(F45:G45)</f>
        <v>140000</v>
      </c>
      <c r="I45" s="2">
        <f>I7</f>
        <v>80000</v>
      </c>
      <c r="J45" s="2">
        <f>J7</f>
        <v>0</v>
      </c>
      <c r="K45" s="4">
        <f aca="true" t="shared" si="11" ref="K45:K55">SUM(I45:J45)</f>
        <v>80000</v>
      </c>
      <c r="L45" s="2">
        <f>+L7</f>
        <v>80000</v>
      </c>
      <c r="M45" s="2">
        <f>+M7</f>
        <v>0</v>
      </c>
      <c r="N45" s="2">
        <f aca="true" t="shared" si="12" ref="N45:N55">SUM(L45:M45)</f>
        <v>80000</v>
      </c>
      <c r="O45" s="5">
        <f>+O7</f>
        <v>80000</v>
      </c>
      <c r="P45" s="2">
        <f>+P7</f>
        <v>0</v>
      </c>
      <c r="Q45" s="4">
        <f aca="true" t="shared" si="13" ref="Q45:Q55">SUM(O45:P45)</f>
        <v>80000</v>
      </c>
      <c r="R45" s="2">
        <f aca="true" t="shared" si="14" ref="R45:R61">R7</f>
        <v>80000</v>
      </c>
      <c r="S45" s="2">
        <f aca="true" t="shared" si="15" ref="S45:S61">+S7</f>
        <v>0</v>
      </c>
      <c r="T45" s="3">
        <f aca="true" t="shared" si="16" ref="T45:T55">SUM(R45:S45)</f>
        <v>80000</v>
      </c>
      <c r="U45" s="2">
        <v>80000</v>
      </c>
      <c r="V45" s="2">
        <v>0</v>
      </c>
      <c r="W45" s="3">
        <f>SUM(U45:V45)</f>
        <v>80000</v>
      </c>
      <c r="X45" s="1">
        <v>0</v>
      </c>
      <c r="Y45" s="2">
        <v>0</v>
      </c>
      <c r="Z45" s="3">
        <f aca="true" t="shared" si="17" ref="Z45:Z55">X45+Y45</f>
        <v>0</v>
      </c>
    </row>
    <row r="46" spans="1:26" ht="11.25">
      <c r="A46" s="74">
        <f aca="true" t="shared" si="18" ref="A46:B55">A8</f>
        <v>2</v>
      </c>
      <c r="B46" s="74" t="str">
        <f t="shared" si="18"/>
        <v>Law Park Planning</v>
      </c>
      <c r="C46" s="2"/>
      <c r="D46" s="2"/>
      <c r="E46" s="2"/>
      <c r="F46" s="1">
        <f aca="true" t="shared" si="19" ref="F46:G55">F8</f>
        <v>100000</v>
      </c>
      <c r="G46" s="2">
        <f t="shared" si="19"/>
        <v>0</v>
      </c>
      <c r="H46" s="3">
        <f t="shared" si="10"/>
        <v>100000</v>
      </c>
      <c r="I46" s="2">
        <f aca="true" t="shared" si="20" ref="I46:J55">I8</f>
        <v>0</v>
      </c>
      <c r="J46" s="2">
        <f t="shared" si="20"/>
        <v>0</v>
      </c>
      <c r="K46" s="4">
        <f t="shared" si="11"/>
        <v>0</v>
      </c>
      <c r="L46" s="2">
        <f aca="true" t="shared" si="21" ref="L46:M55">+L8</f>
        <v>0</v>
      </c>
      <c r="M46" s="2">
        <f t="shared" si="21"/>
        <v>0</v>
      </c>
      <c r="N46" s="2">
        <f t="shared" si="12"/>
        <v>0</v>
      </c>
      <c r="O46" s="5">
        <f aca="true" t="shared" si="22" ref="O46:P55">+O8</f>
        <v>0</v>
      </c>
      <c r="P46" s="2">
        <f t="shared" si="22"/>
        <v>0</v>
      </c>
      <c r="Q46" s="4">
        <f t="shared" si="13"/>
        <v>0</v>
      </c>
      <c r="R46" s="2">
        <f t="shared" si="14"/>
        <v>0</v>
      </c>
      <c r="S46" s="2">
        <f t="shared" si="15"/>
        <v>0</v>
      </c>
      <c r="T46" s="3">
        <f t="shared" si="16"/>
        <v>0</v>
      </c>
      <c r="U46" s="2">
        <v>0</v>
      </c>
      <c r="V46" s="2">
        <v>0</v>
      </c>
      <c r="W46" s="3">
        <f aca="true" t="shared" si="23" ref="W46:W61">SUM(U46:V46)</f>
        <v>0</v>
      </c>
      <c r="X46" s="1">
        <v>0</v>
      </c>
      <c r="Y46" s="2">
        <v>0</v>
      </c>
      <c r="Z46" s="3">
        <f t="shared" si="17"/>
        <v>0</v>
      </c>
    </row>
    <row r="47" spans="1:26" ht="11.25">
      <c r="A47" s="75">
        <f t="shared" si="18"/>
        <v>3</v>
      </c>
      <c r="B47" s="75" t="str">
        <f t="shared" si="18"/>
        <v>Lake Mendota Path</v>
      </c>
      <c r="C47" s="76"/>
      <c r="D47" s="77"/>
      <c r="E47" s="77"/>
      <c r="F47" s="76">
        <f t="shared" si="19"/>
        <v>0</v>
      </c>
      <c r="G47" s="77">
        <f t="shared" si="19"/>
        <v>0</v>
      </c>
      <c r="H47" s="78">
        <f t="shared" si="10"/>
        <v>0</v>
      </c>
      <c r="I47" s="77">
        <f t="shared" si="20"/>
        <v>75000</v>
      </c>
      <c r="J47" s="77">
        <f t="shared" si="20"/>
        <v>0</v>
      </c>
      <c r="K47" s="79">
        <f t="shared" si="11"/>
        <v>75000</v>
      </c>
      <c r="L47" s="77">
        <f t="shared" si="21"/>
        <v>500000</v>
      </c>
      <c r="M47" s="77">
        <f t="shared" si="21"/>
        <v>0</v>
      </c>
      <c r="N47" s="79">
        <f t="shared" si="12"/>
        <v>500000</v>
      </c>
      <c r="O47" s="77">
        <f t="shared" si="22"/>
        <v>500000</v>
      </c>
      <c r="P47" s="77">
        <f t="shared" si="22"/>
        <v>0</v>
      </c>
      <c r="Q47" s="79">
        <f t="shared" si="13"/>
        <v>500000</v>
      </c>
      <c r="R47" s="80">
        <f t="shared" si="14"/>
        <v>500000</v>
      </c>
      <c r="S47" s="77">
        <f t="shared" si="15"/>
        <v>0</v>
      </c>
      <c r="T47" s="78">
        <f t="shared" si="16"/>
        <v>500000</v>
      </c>
      <c r="U47" s="76">
        <v>500000</v>
      </c>
      <c r="V47" s="77">
        <v>0</v>
      </c>
      <c r="W47" s="78">
        <f t="shared" si="23"/>
        <v>500000</v>
      </c>
      <c r="X47" s="76">
        <v>0</v>
      </c>
      <c r="Y47" s="77">
        <v>0</v>
      </c>
      <c r="Z47" s="78">
        <f t="shared" si="17"/>
        <v>0</v>
      </c>
    </row>
    <row r="48" spans="1:26" ht="11.25">
      <c r="A48" s="74">
        <f t="shared" si="18"/>
        <v>4</v>
      </c>
      <c r="B48" s="74" t="str">
        <f t="shared" si="18"/>
        <v>Digital Model of Isthmus</v>
      </c>
      <c r="C48" s="2"/>
      <c r="D48" s="2"/>
      <c r="E48" s="2"/>
      <c r="F48" s="1">
        <v>30000</v>
      </c>
      <c r="G48" s="2">
        <f t="shared" si="19"/>
        <v>0</v>
      </c>
      <c r="H48" s="3">
        <f t="shared" si="10"/>
        <v>30000</v>
      </c>
      <c r="I48" s="2">
        <f t="shared" si="20"/>
        <v>0</v>
      </c>
      <c r="J48" s="2">
        <f t="shared" si="20"/>
        <v>0</v>
      </c>
      <c r="K48" s="4">
        <f t="shared" si="11"/>
        <v>0</v>
      </c>
      <c r="L48" s="2">
        <f t="shared" si="21"/>
        <v>0</v>
      </c>
      <c r="M48" s="2">
        <f t="shared" si="21"/>
        <v>0</v>
      </c>
      <c r="N48" s="2">
        <f t="shared" si="12"/>
        <v>0</v>
      </c>
      <c r="O48" s="5">
        <f t="shared" si="22"/>
        <v>0</v>
      </c>
      <c r="P48" s="2">
        <f t="shared" si="22"/>
        <v>0</v>
      </c>
      <c r="Q48" s="4">
        <f t="shared" si="13"/>
        <v>0</v>
      </c>
      <c r="R48" s="2">
        <f t="shared" si="14"/>
        <v>0</v>
      </c>
      <c r="S48" s="2">
        <f t="shared" si="15"/>
        <v>0</v>
      </c>
      <c r="T48" s="3">
        <f t="shared" si="16"/>
        <v>0</v>
      </c>
      <c r="U48" s="2">
        <v>0</v>
      </c>
      <c r="V48" s="2">
        <v>0</v>
      </c>
      <c r="W48" s="3">
        <f t="shared" si="23"/>
        <v>0</v>
      </c>
      <c r="X48" s="2">
        <v>0</v>
      </c>
      <c r="Y48" s="2">
        <v>0</v>
      </c>
      <c r="Z48" s="3">
        <f t="shared" si="17"/>
        <v>0</v>
      </c>
    </row>
    <row r="49" spans="1:26" ht="11.25">
      <c r="A49" s="74">
        <f t="shared" si="18"/>
        <v>5</v>
      </c>
      <c r="B49" s="74" t="str">
        <f t="shared" si="18"/>
        <v>Broom Street Gateway</v>
      </c>
      <c r="C49" s="2"/>
      <c r="D49" s="2"/>
      <c r="E49" s="2"/>
      <c r="F49" s="1">
        <f t="shared" si="19"/>
        <v>0</v>
      </c>
      <c r="G49" s="2">
        <f t="shared" si="19"/>
        <v>0</v>
      </c>
      <c r="H49" s="3">
        <f t="shared" si="10"/>
        <v>0</v>
      </c>
      <c r="I49" s="2">
        <f t="shared" si="20"/>
        <v>50000</v>
      </c>
      <c r="J49" s="2">
        <f t="shared" si="20"/>
        <v>0</v>
      </c>
      <c r="K49" s="4">
        <f t="shared" si="11"/>
        <v>50000</v>
      </c>
      <c r="L49" s="2">
        <f t="shared" si="21"/>
        <v>0</v>
      </c>
      <c r="M49" s="2">
        <f t="shared" si="21"/>
        <v>0</v>
      </c>
      <c r="N49" s="2">
        <f t="shared" si="12"/>
        <v>0</v>
      </c>
      <c r="O49" s="5">
        <f t="shared" si="22"/>
        <v>0</v>
      </c>
      <c r="P49" s="2">
        <f t="shared" si="22"/>
        <v>0</v>
      </c>
      <c r="Q49" s="4">
        <f t="shared" si="13"/>
        <v>0</v>
      </c>
      <c r="R49" s="2">
        <f t="shared" si="14"/>
        <v>0</v>
      </c>
      <c r="S49" s="2">
        <f t="shared" si="15"/>
        <v>0</v>
      </c>
      <c r="T49" s="3">
        <f t="shared" si="16"/>
        <v>0</v>
      </c>
      <c r="U49" s="2">
        <v>0</v>
      </c>
      <c r="V49" s="2">
        <v>0</v>
      </c>
      <c r="W49" s="3">
        <f t="shared" si="23"/>
        <v>0</v>
      </c>
      <c r="X49" s="2">
        <v>0</v>
      </c>
      <c r="Y49" s="2">
        <v>0</v>
      </c>
      <c r="Z49" s="3">
        <f t="shared" si="17"/>
        <v>0</v>
      </c>
    </row>
    <row r="50" spans="1:26" ht="11.25">
      <c r="A50" s="75">
        <f t="shared" si="18"/>
        <v>6</v>
      </c>
      <c r="B50" s="75" t="str">
        <f t="shared" si="18"/>
        <v>Downtown Historic Preservation Plan</v>
      </c>
      <c r="C50" s="76"/>
      <c r="D50" s="77"/>
      <c r="E50" s="77"/>
      <c r="F50" s="76">
        <f t="shared" si="19"/>
        <v>0</v>
      </c>
      <c r="G50" s="77">
        <f t="shared" si="19"/>
        <v>0</v>
      </c>
      <c r="H50" s="78">
        <f t="shared" si="10"/>
        <v>0</v>
      </c>
      <c r="I50" s="77">
        <f t="shared" si="20"/>
        <v>50000</v>
      </c>
      <c r="J50" s="77">
        <f t="shared" si="20"/>
        <v>0</v>
      </c>
      <c r="K50" s="79">
        <f t="shared" si="11"/>
        <v>50000</v>
      </c>
      <c r="L50" s="77">
        <f t="shared" si="21"/>
        <v>0</v>
      </c>
      <c r="M50" s="77">
        <f t="shared" si="21"/>
        <v>0</v>
      </c>
      <c r="N50" s="79">
        <f t="shared" si="12"/>
        <v>0</v>
      </c>
      <c r="O50" s="77">
        <f t="shared" si="22"/>
        <v>0</v>
      </c>
      <c r="P50" s="77">
        <f t="shared" si="22"/>
        <v>0</v>
      </c>
      <c r="Q50" s="79">
        <f t="shared" si="13"/>
        <v>0</v>
      </c>
      <c r="R50" s="80">
        <f t="shared" si="14"/>
        <v>0</v>
      </c>
      <c r="S50" s="77">
        <f t="shared" si="15"/>
        <v>0</v>
      </c>
      <c r="T50" s="78">
        <f t="shared" si="16"/>
        <v>0</v>
      </c>
      <c r="U50" s="76">
        <v>0</v>
      </c>
      <c r="V50" s="77">
        <v>0</v>
      </c>
      <c r="W50" s="78">
        <f t="shared" si="23"/>
        <v>0</v>
      </c>
      <c r="X50" s="76">
        <v>0</v>
      </c>
      <c r="Y50" s="77">
        <v>0</v>
      </c>
      <c r="Z50" s="78">
        <f t="shared" si="17"/>
        <v>0</v>
      </c>
    </row>
    <row r="51" spans="1:26" ht="11.25">
      <c r="A51" s="74">
        <f t="shared" si="18"/>
        <v>7</v>
      </c>
      <c r="B51" s="74" t="str">
        <f t="shared" si="18"/>
        <v>Transp. Master Plan for a Livable City</v>
      </c>
      <c r="C51" s="2"/>
      <c r="D51" s="2"/>
      <c r="E51" s="2"/>
      <c r="F51" s="1">
        <v>100000</v>
      </c>
      <c r="G51" s="2">
        <v>400000</v>
      </c>
      <c r="H51" s="3">
        <f t="shared" si="10"/>
        <v>500000</v>
      </c>
      <c r="I51" s="2">
        <f t="shared" si="20"/>
        <v>0</v>
      </c>
      <c r="J51" s="2">
        <f t="shared" si="20"/>
        <v>0</v>
      </c>
      <c r="K51" s="4">
        <f t="shared" si="11"/>
        <v>0</v>
      </c>
      <c r="L51" s="2">
        <f t="shared" si="21"/>
        <v>0</v>
      </c>
      <c r="M51" s="2">
        <f t="shared" si="21"/>
        <v>0</v>
      </c>
      <c r="N51" s="2">
        <f t="shared" si="12"/>
        <v>0</v>
      </c>
      <c r="O51" s="5">
        <f t="shared" si="22"/>
        <v>0</v>
      </c>
      <c r="P51" s="2">
        <f t="shared" si="22"/>
        <v>0</v>
      </c>
      <c r="Q51" s="4">
        <f t="shared" si="13"/>
        <v>0</v>
      </c>
      <c r="R51" s="2">
        <f t="shared" si="14"/>
        <v>0</v>
      </c>
      <c r="S51" s="2">
        <f t="shared" si="15"/>
        <v>0</v>
      </c>
      <c r="T51" s="3">
        <f t="shared" si="16"/>
        <v>0</v>
      </c>
      <c r="U51" s="2">
        <v>0</v>
      </c>
      <c r="V51" s="2">
        <v>0</v>
      </c>
      <c r="W51" s="3">
        <f t="shared" si="23"/>
        <v>0</v>
      </c>
      <c r="X51" s="2">
        <v>0</v>
      </c>
      <c r="Y51" s="2">
        <v>0</v>
      </c>
      <c r="Z51" s="3">
        <f t="shared" si="17"/>
        <v>0</v>
      </c>
    </row>
    <row r="52" spans="1:26" ht="11.25">
      <c r="A52" s="74">
        <f t="shared" si="18"/>
        <v>8</v>
      </c>
      <c r="B52" s="74" t="str">
        <f t="shared" si="18"/>
        <v>Neighborhood Centers</v>
      </c>
      <c r="C52" s="2"/>
      <c r="D52" s="2"/>
      <c r="E52" s="2"/>
      <c r="F52" s="1">
        <v>400000</v>
      </c>
      <c r="G52" s="2">
        <v>500000</v>
      </c>
      <c r="H52" s="3">
        <f t="shared" si="10"/>
        <v>900000</v>
      </c>
      <c r="I52" s="2">
        <v>1000000</v>
      </c>
      <c r="J52" s="2">
        <f t="shared" si="20"/>
        <v>0</v>
      </c>
      <c r="K52" s="4">
        <f t="shared" si="11"/>
        <v>1000000</v>
      </c>
      <c r="L52" s="2">
        <v>1000000</v>
      </c>
      <c r="M52" s="2">
        <f t="shared" si="21"/>
        <v>0</v>
      </c>
      <c r="N52" s="2">
        <f t="shared" si="12"/>
        <v>1000000</v>
      </c>
      <c r="O52" s="5">
        <v>1000000</v>
      </c>
      <c r="P52" s="2">
        <f t="shared" si="22"/>
        <v>0</v>
      </c>
      <c r="Q52" s="4">
        <f t="shared" si="13"/>
        <v>1000000</v>
      </c>
      <c r="R52" s="2">
        <v>1000000</v>
      </c>
      <c r="S52" s="2">
        <f t="shared" si="15"/>
        <v>0</v>
      </c>
      <c r="T52" s="3">
        <f t="shared" si="16"/>
        <v>1000000</v>
      </c>
      <c r="U52" s="2">
        <v>5000000</v>
      </c>
      <c r="V52" s="2">
        <v>0</v>
      </c>
      <c r="W52" s="3">
        <f t="shared" si="23"/>
        <v>5000000</v>
      </c>
      <c r="X52" s="2">
        <v>0</v>
      </c>
      <c r="Y52" s="2">
        <v>0</v>
      </c>
      <c r="Z52" s="3">
        <f t="shared" si="17"/>
        <v>0</v>
      </c>
    </row>
    <row r="53" spans="1:26" ht="11.25">
      <c r="A53" s="75">
        <f t="shared" si="18"/>
        <v>9</v>
      </c>
      <c r="B53" s="75" t="str">
        <f t="shared" si="18"/>
        <v>CDA Red. - Truax Area Master Plan</v>
      </c>
      <c r="C53" s="76"/>
      <c r="D53" s="77"/>
      <c r="E53" s="77"/>
      <c r="F53" s="76">
        <v>665000</v>
      </c>
      <c r="G53" s="77">
        <f t="shared" si="19"/>
        <v>0</v>
      </c>
      <c r="H53" s="78">
        <f t="shared" si="10"/>
        <v>665000</v>
      </c>
      <c r="I53" s="77">
        <f t="shared" si="20"/>
        <v>0</v>
      </c>
      <c r="J53" s="77">
        <f t="shared" si="20"/>
        <v>0</v>
      </c>
      <c r="K53" s="79">
        <f t="shared" si="11"/>
        <v>0</v>
      </c>
      <c r="L53" s="77">
        <f t="shared" si="21"/>
        <v>0</v>
      </c>
      <c r="M53" s="77">
        <f t="shared" si="21"/>
        <v>0</v>
      </c>
      <c r="N53" s="79">
        <f t="shared" si="12"/>
        <v>0</v>
      </c>
      <c r="O53" s="77">
        <f t="shared" si="22"/>
        <v>0</v>
      </c>
      <c r="P53" s="77">
        <f t="shared" si="22"/>
        <v>0</v>
      </c>
      <c r="Q53" s="79">
        <f t="shared" si="13"/>
        <v>0</v>
      </c>
      <c r="R53" s="80">
        <f t="shared" si="14"/>
        <v>0</v>
      </c>
      <c r="S53" s="77">
        <f t="shared" si="15"/>
        <v>0</v>
      </c>
      <c r="T53" s="78">
        <f t="shared" si="16"/>
        <v>0</v>
      </c>
      <c r="U53" s="76">
        <v>0</v>
      </c>
      <c r="V53" s="77">
        <v>0</v>
      </c>
      <c r="W53" s="78">
        <f t="shared" si="23"/>
        <v>0</v>
      </c>
      <c r="X53" s="76">
        <v>0</v>
      </c>
      <c r="Y53" s="77">
        <v>0</v>
      </c>
      <c r="Z53" s="78">
        <f t="shared" si="17"/>
        <v>0</v>
      </c>
    </row>
    <row r="54" spans="1:26" ht="11.25">
      <c r="A54" s="74">
        <f t="shared" si="18"/>
        <v>10</v>
      </c>
      <c r="B54" s="74" t="str">
        <f t="shared" si="18"/>
        <v>CDA Redevelopment - Villager</v>
      </c>
      <c r="C54" s="2"/>
      <c r="D54" s="2"/>
      <c r="E54" s="2"/>
      <c r="F54" s="1">
        <v>0</v>
      </c>
      <c r="G54" s="2">
        <v>300000</v>
      </c>
      <c r="H54" s="3">
        <f t="shared" si="10"/>
        <v>300000</v>
      </c>
      <c r="I54" s="2">
        <f t="shared" si="20"/>
        <v>0</v>
      </c>
      <c r="J54" s="2">
        <f t="shared" si="20"/>
        <v>0</v>
      </c>
      <c r="K54" s="4">
        <f t="shared" si="11"/>
        <v>0</v>
      </c>
      <c r="L54" s="2">
        <f t="shared" si="21"/>
        <v>0</v>
      </c>
      <c r="M54" s="2">
        <f t="shared" si="21"/>
        <v>0</v>
      </c>
      <c r="N54" s="2">
        <f t="shared" si="12"/>
        <v>0</v>
      </c>
      <c r="O54" s="5">
        <f t="shared" si="22"/>
        <v>0</v>
      </c>
      <c r="P54" s="2">
        <f t="shared" si="22"/>
        <v>0</v>
      </c>
      <c r="Q54" s="4">
        <f t="shared" si="13"/>
        <v>0</v>
      </c>
      <c r="R54" s="2">
        <f t="shared" si="14"/>
        <v>0</v>
      </c>
      <c r="S54" s="2">
        <f t="shared" si="15"/>
        <v>0</v>
      </c>
      <c r="T54" s="3">
        <f t="shared" si="16"/>
        <v>0</v>
      </c>
      <c r="U54" s="2">
        <v>0</v>
      </c>
      <c r="V54" s="2">
        <v>0</v>
      </c>
      <c r="W54" s="3">
        <f t="shared" si="23"/>
        <v>0</v>
      </c>
      <c r="X54" s="2">
        <v>0</v>
      </c>
      <c r="Y54" s="2">
        <v>0</v>
      </c>
      <c r="Z54" s="3">
        <f t="shared" si="17"/>
        <v>0</v>
      </c>
    </row>
    <row r="55" spans="1:26" ht="11.25">
      <c r="A55" s="74">
        <f t="shared" si="18"/>
        <v>11</v>
      </c>
      <c r="B55" s="74" t="str">
        <f t="shared" si="18"/>
        <v>Public Housing Redevelopment</v>
      </c>
      <c r="C55" s="2"/>
      <c r="D55" s="2"/>
      <c r="E55" s="2"/>
      <c r="F55" s="1">
        <f t="shared" si="19"/>
        <v>240000</v>
      </c>
      <c r="G55" s="2">
        <f t="shared" si="19"/>
        <v>0</v>
      </c>
      <c r="H55" s="3">
        <f t="shared" si="10"/>
        <v>240000</v>
      </c>
      <c r="I55" s="2">
        <f t="shared" si="20"/>
        <v>240000</v>
      </c>
      <c r="J55" s="2">
        <f t="shared" si="20"/>
        <v>0</v>
      </c>
      <c r="K55" s="4">
        <f t="shared" si="11"/>
        <v>240000</v>
      </c>
      <c r="L55" s="2">
        <f t="shared" si="21"/>
        <v>240000</v>
      </c>
      <c r="M55" s="2">
        <f t="shared" si="21"/>
        <v>0</v>
      </c>
      <c r="N55" s="2">
        <f t="shared" si="12"/>
        <v>240000</v>
      </c>
      <c r="O55" s="5">
        <f t="shared" si="22"/>
        <v>240000</v>
      </c>
      <c r="P55" s="2">
        <f t="shared" si="22"/>
        <v>0</v>
      </c>
      <c r="Q55" s="4">
        <f t="shared" si="13"/>
        <v>240000</v>
      </c>
      <c r="R55" s="2">
        <f t="shared" si="14"/>
        <v>240000</v>
      </c>
      <c r="S55" s="2">
        <f t="shared" si="15"/>
        <v>0</v>
      </c>
      <c r="T55" s="3">
        <f t="shared" si="16"/>
        <v>240000</v>
      </c>
      <c r="U55" s="2">
        <v>240000</v>
      </c>
      <c r="V55" s="2">
        <v>0</v>
      </c>
      <c r="W55" s="3">
        <f t="shared" si="23"/>
        <v>240000</v>
      </c>
      <c r="X55" s="2">
        <v>0</v>
      </c>
      <c r="Y55" s="2">
        <v>0</v>
      </c>
      <c r="Z55" s="3">
        <f t="shared" si="17"/>
        <v>0</v>
      </c>
    </row>
    <row r="56" spans="1:26" ht="11.25">
      <c r="A56" s="75">
        <f aca="true" t="shared" si="24" ref="A56:B62">A18</f>
        <v>12</v>
      </c>
      <c r="B56" s="75" t="str">
        <f t="shared" si="24"/>
        <v>Judge Doyle Square (Block 105)</v>
      </c>
      <c r="C56" s="76"/>
      <c r="D56" s="77"/>
      <c r="E56" s="77"/>
      <c r="F56" s="76">
        <v>0</v>
      </c>
      <c r="G56" s="77">
        <f>590000+400000</f>
        <v>990000</v>
      </c>
      <c r="H56" s="78">
        <f aca="true" t="shared" si="25" ref="H56:H61">SUM(F56:G56)</f>
        <v>990000</v>
      </c>
      <c r="I56" s="77">
        <f aca="true" t="shared" si="26" ref="I56:J61">I18</f>
        <v>0</v>
      </c>
      <c r="J56" s="77">
        <f t="shared" si="26"/>
        <v>0</v>
      </c>
      <c r="K56" s="79">
        <f aca="true" t="shared" si="27" ref="K56:K61">SUM(I56:J56)</f>
        <v>0</v>
      </c>
      <c r="L56" s="77">
        <f aca="true" t="shared" si="28" ref="L56:M62">+L18</f>
        <v>0</v>
      </c>
      <c r="M56" s="77">
        <f t="shared" si="28"/>
        <v>0</v>
      </c>
      <c r="N56" s="79">
        <f aca="true" t="shared" si="29" ref="N56:N61">SUM(L56:M56)</f>
        <v>0</v>
      </c>
      <c r="O56" s="77">
        <f aca="true" t="shared" si="30" ref="O56:P62">+O18</f>
        <v>0</v>
      </c>
      <c r="P56" s="77">
        <f t="shared" si="30"/>
        <v>0</v>
      </c>
      <c r="Q56" s="79">
        <f aca="true" t="shared" si="31" ref="Q56:Q61">SUM(O56:P56)</f>
        <v>0</v>
      </c>
      <c r="R56" s="80">
        <f t="shared" si="14"/>
        <v>0</v>
      </c>
      <c r="S56" s="77">
        <f t="shared" si="15"/>
        <v>0</v>
      </c>
      <c r="T56" s="78">
        <f aca="true" t="shared" si="32" ref="T56:T61">SUM(R56:S56)</f>
        <v>0</v>
      </c>
      <c r="U56" s="76">
        <v>0</v>
      </c>
      <c r="V56" s="77">
        <v>0</v>
      </c>
      <c r="W56" s="78">
        <f t="shared" si="23"/>
        <v>0</v>
      </c>
      <c r="X56" s="76">
        <v>0</v>
      </c>
      <c r="Y56" s="77">
        <v>0</v>
      </c>
      <c r="Z56" s="78">
        <f aca="true" t="shared" si="33" ref="Z56:Z61">X56+Y56</f>
        <v>0</v>
      </c>
    </row>
    <row r="57" spans="1:26" ht="11.25">
      <c r="A57" s="74">
        <f t="shared" si="24"/>
        <v>13</v>
      </c>
      <c r="B57" s="74"/>
      <c r="C57" s="2"/>
      <c r="D57" s="2"/>
      <c r="E57" s="2"/>
      <c r="F57" s="1">
        <f aca="true" t="shared" si="34" ref="F57:G62">F19</f>
        <v>0</v>
      </c>
      <c r="G57" s="2">
        <f t="shared" si="34"/>
        <v>0</v>
      </c>
      <c r="H57" s="3">
        <f t="shared" si="25"/>
        <v>0</v>
      </c>
      <c r="I57" s="2">
        <f t="shared" si="26"/>
        <v>0</v>
      </c>
      <c r="J57" s="2">
        <f t="shared" si="26"/>
        <v>0</v>
      </c>
      <c r="K57" s="4">
        <f t="shared" si="27"/>
        <v>0</v>
      </c>
      <c r="L57" s="2">
        <f t="shared" si="28"/>
        <v>0</v>
      </c>
      <c r="M57" s="2">
        <f t="shared" si="28"/>
        <v>0</v>
      </c>
      <c r="N57" s="2">
        <f t="shared" si="29"/>
        <v>0</v>
      </c>
      <c r="O57" s="5">
        <f t="shared" si="30"/>
        <v>0</v>
      </c>
      <c r="P57" s="2">
        <f t="shared" si="30"/>
        <v>0</v>
      </c>
      <c r="Q57" s="4">
        <f t="shared" si="31"/>
        <v>0</v>
      </c>
      <c r="R57" s="2">
        <f t="shared" si="14"/>
        <v>0</v>
      </c>
      <c r="S57" s="2">
        <f t="shared" si="15"/>
        <v>0</v>
      </c>
      <c r="T57" s="3">
        <f t="shared" si="32"/>
        <v>0</v>
      </c>
      <c r="U57" s="2">
        <v>0</v>
      </c>
      <c r="V57" s="2">
        <v>0</v>
      </c>
      <c r="W57" s="3">
        <f t="shared" si="23"/>
        <v>0</v>
      </c>
      <c r="X57" s="2">
        <v>0</v>
      </c>
      <c r="Y57" s="2">
        <v>0</v>
      </c>
      <c r="Z57" s="3">
        <f t="shared" si="33"/>
        <v>0</v>
      </c>
    </row>
    <row r="58" spans="1:26" ht="11.25">
      <c r="A58" s="74">
        <f t="shared" si="24"/>
        <v>14</v>
      </c>
      <c r="B58" s="74" t="str">
        <f t="shared" si="24"/>
        <v>TID 27- Additional Redevelopment on Lake Point</v>
      </c>
      <c r="C58" s="2"/>
      <c r="D58" s="2"/>
      <c r="E58" s="2"/>
      <c r="F58" s="1">
        <f t="shared" si="34"/>
        <v>0</v>
      </c>
      <c r="G58" s="2">
        <v>500000</v>
      </c>
      <c r="H58" s="3">
        <f t="shared" si="25"/>
        <v>500000</v>
      </c>
      <c r="I58" s="2"/>
      <c r="J58" s="2">
        <v>500000</v>
      </c>
      <c r="K58" s="4">
        <f t="shared" si="27"/>
        <v>500000</v>
      </c>
      <c r="L58" s="2">
        <f t="shared" si="28"/>
        <v>0</v>
      </c>
      <c r="M58" s="2">
        <v>500000</v>
      </c>
      <c r="N58" s="2">
        <f t="shared" si="29"/>
        <v>500000</v>
      </c>
      <c r="O58" s="5">
        <f t="shared" si="30"/>
        <v>0</v>
      </c>
      <c r="P58" s="2">
        <f t="shared" si="30"/>
        <v>0</v>
      </c>
      <c r="Q58" s="4">
        <f t="shared" si="31"/>
        <v>0</v>
      </c>
      <c r="R58" s="2">
        <f t="shared" si="14"/>
        <v>0</v>
      </c>
      <c r="S58" s="2">
        <f t="shared" si="15"/>
        <v>0</v>
      </c>
      <c r="T58" s="3">
        <f t="shared" si="32"/>
        <v>0</v>
      </c>
      <c r="U58" s="2">
        <v>0</v>
      </c>
      <c r="V58" s="2">
        <v>0</v>
      </c>
      <c r="W58" s="3">
        <f t="shared" si="23"/>
        <v>0</v>
      </c>
      <c r="X58" s="2">
        <v>0</v>
      </c>
      <c r="Y58" s="2">
        <v>0</v>
      </c>
      <c r="Z58" s="3">
        <f t="shared" si="33"/>
        <v>0</v>
      </c>
    </row>
    <row r="59" spans="1:26" ht="11.25">
      <c r="A59" s="75">
        <f t="shared" si="24"/>
        <v>15</v>
      </c>
      <c r="B59" s="75" t="str">
        <f t="shared" si="24"/>
        <v>TID 36 - Capitol Gateway Corridor</v>
      </c>
      <c r="C59" s="76"/>
      <c r="D59" s="77"/>
      <c r="E59" s="77"/>
      <c r="F59" s="76">
        <v>200000</v>
      </c>
      <c r="G59" s="77">
        <f t="shared" si="34"/>
        <v>0</v>
      </c>
      <c r="H59" s="78">
        <f t="shared" si="25"/>
        <v>200000</v>
      </c>
      <c r="I59" s="77">
        <f t="shared" si="26"/>
        <v>400000</v>
      </c>
      <c r="J59" s="77">
        <f t="shared" si="26"/>
        <v>0</v>
      </c>
      <c r="K59" s="79">
        <f t="shared" si="27"/>
        <v>400000</v>
      </c>
      <c r="L59" s="77">
        <f t="shared" si="28"/>
        <v>150000</v>
      </c>
      <c r="M59" s="77">
        <f t="shared" si="28"/>
        <v>0</v>
      </c>
      <c r="N59" s="79">
        <f t="shared" si="29"/>
        <v>150000</v>
      </c>
      <c r="O59" s="77">
        <f t="shared" si="30"/>
        <v>150000</v>
      </c>
      <c r="P59" s="77">
        <f t="shared" si="30"/>
        <v>0</v>
      </c>
      <c r="Q59" s="79">
        <f t="shared" si="31"/>
        <v>150000</v>
      </c>
      <c r="R59" s="80">
        <f t="shared" si="14"/>
        <v>150000</v>
      </c>
      <c r="S59" s="77">
        <f t="shared" si="15"/>
        <v>0</v>
      </c>
      <c r="T59" s="78">
        <f t="shared" si="32"/>
        <v>150000</v>
      </c>
      <c r="U59" s="76">
        <v>150000</v>
      </c>
      <c r="V59" s="77">
        <v>0</v>
      </c>
      <c r="W59" s="78">
        <f t="shared" si="23"/>
        <v>150000</v>
      </c>
      <c r="X59" s="76">
        <v>0</v>
      </c>
      <c r="Y59" s="77">
        <v>0</v>
      </c>
      <c r="Z59" s="78">
        <f t="shared" si="33"/>
        <v>0</v>
      </c>
    </row>
    <row r="60" spans="1:26" ht="11.25">
      <c r="A60" s="74">
        <f t="shared" si="24"/>
        <v>16</v>
      </c>
      <c r="B60" s="74" t="str">
        <f t="shared" si="24"/>
        <v>TID 37 - Union Corners</v>
      </c>
      <c r="C60" s="2"/>
      <c r="D60" s="2"/>
      <c r="E60" s="2"/>
      <c r="F60" s="1">
        <v>30000</v>
      </c>
      <c r="G60" s="2">
        <f t="shared" si="34"/>
        <v>0</v>
      </c>
      <c r="H60" s="3">
        <f t="shared" si="25"/>
        <v>30000</v>
      </c>
      <c r="I60" s="2">
        <v>30000</v>
      </c>
      <c r="J60" s="2">
        <f t="shared" si="26"/>
        <v>0</v>
      </c>
      <c r="K60" s="4">
        <f t="shared" si="27"/>
        <v>30000</v>
      </c>
      <c r="L60" s="2">
        <v>30000</v>
      </c>
      <c r="M60" s="2">
        <f t="shared" si="28"/>
        <v>0</v>
      </c>
      <c r="N60" s="2">
        <f t="shared" si="29"/>
        <v>30000</v>
      </c>
      <c r="O60" s="5">
        <v>30000</v>
      </c>
      <c r="P60" s="2">
        <f t="shared" si="30"/>
        <v>0</v>
      </c>
      <c r="Q60" s="4">
        <f t="shared" si="31"/>
        <v>30000</v>
      </c>
      <c r="R60" s="2">
        <v>30000</v>
      </c>
      <c r="S60" s="2">
        <f t="shared" si="15"/>
        <v>0</v>
      </c>
      <c r="T60" s="3">
        <f t="shared" si="32"/>
        <v>30000</v>
      </c>
      <c r="U60" s="2">
        <v>30000</v>
      </c>
      <c r="V60" s="2">
        <v>0</v>
      </c>
      <c r="W60" s="3">
        <f t="shared" si="23"/>
        <v>30000</v>
      </c>
      <c r="X60" s="2">
        <v>0</v>
      </c>
      <c r="Y60" s="2">
        <v>0</v>
      </c>
      <c r="Z60" s="3">
        <f t="shared" si="33"/>
        <v>0</v>
      </c>
    </row>
    <row r="61" spans="1:26" ht="11.25">
      <c r="A61" s="74">
        <f t="shared" si="24"/>
        <v>17</v>
      </c>
      <c r="B61" s="74"/>
      <c r="C61" s="2"/>
      <c r="D61" s="2"/>
      <c r="E61" s="2"/>
      <c r="F61" s="1">
        <v>0</v>
      </c>
      <c r="G61" s="2">
        <f t="shared" si="34"/>
        <v>0</v>
      </c>
      <c r="H61" s="3">
        <f t="shared" si="25"/>
        <v>0</v>
      </c>
      <c r="I61" s="2">
        <f t="shared" si="26"/>
        <v>0</v>
      </c>
      <c r="J61" s="2">
        <f t="shared" si="26"/>
        <v>0</v>
      </c>
      <c r="K61" s="4">
        <f t="shared" si="27"/>
        <v>0</v>
      </c>
      <c r="L61" s="2">
        <f t="shared" si="28"/>
        <v>0</v>
      </c>
      <c r="M61" s="2">
        <f t="shared" si="28"/>
        <v>0</v>
      </c>
      <c r="N61" s="2">
        <f t="shared" si="29"/>
        <v>0</v>
      </c>
      <c r="O61" s="5">
        <f t="shared" si="30"/>
        <v>0</v>
      </c>
      <c r="P61" s="2">
        <f t="shared" si="30"/>
        <v>0</v>
      </c>
      <c r="Q61" s="4">
        <f t="shared" si="31"/>
        <v>0</v>
      </c>
      <c r="R61" s="2">
        <f t="shared" si="14"/>
        <v>0</v>
      </c>
      <c r="S61" s="2">
        <f t="shared" si="15"/>
        <v>0</v>
      </c>
      <c r="T61" s="3">
        <f t="shared" si="32"/>
        <v>0</v>
      </c>
      <c r="U61" s="2">
        <v>0</v>
      </c>
      <c r="V61" s="2">
        <v>0</v>
      </c>
      <c r="W61" s="3">
        <f t="shared" si="23"/>
        <v>0</v>
      </c>
      <c r="X61" s="2">
        <v>0</v>
      </c>
      <c r="Y61" s="2">
        <v>0</v>
      </c>
      <c r="Z61" s="3">
        <f t="shared" si="33"/>
        <v>0</v>
      </c>
    </row>
    <row r="62" spans="1:26" ht="11.25">
      <c r="A62" s="75">
        <f t="shared" si="24"/>
        <v>18</v>
      </c>
      <c r="B62" s="75" t="str">
        <f t="shared" si="24"/>
        <v>TID 39 - Stoughton Rd.</v>
      </c>
      <c r="C62" s="76"/>
      <c r="D62" s="77"/>
      <c r="E62" s="77"/>
      <c r="F62" s="76">
        <v>430000</v>
      </c>
      <c r="G62" s="77">
        <f t="shared" si="34"/>
        <v>0</v>
      </c>
      <c r="H62" s="78">
        <f aca="true" t="shared" si="35" ref="H62:H73">SUM(F62:G62)</f>
        <v>430000</v>
      </c>
      <c r="I62" s="77">
        <v>30000</v>
      </c>
      <c r="J62" s="77"/>
      <c r="K62" s="79">
        <f aca="true" t="shared" si="36" ref="K62:K73">SUM(I62:J62)</f>
        <v>30000</v>
      </c>
      <c r="L62" s="77">
        <v>30000</v>
      </c>
      <c r="M62" s="77">
        <f t="shared" si="28"/>
        <v>0</v>
      </c>
      <c r="N62" s="79">
        <f aca="true" t="shared" si="37" ref="N62:N73">SUM(L62:M62)</f>
        <v>30000</v>
      </c>
      <c r="O62" s="77">
        <v>30000</v>
      </c>
      <c r="P62" s="77">
        <f t="shared" si="30"/>
        <v>0</v>
      </c>
      <c r="Q62" s="79">
        <f aca="true" t="shared" si="38" ref="Q62:Q73">SUM(O62:P62)</f>
        <v>30000</v>
      </c>
      <c r="R62" s="80">
        <v>30000</v>
      </c>
      <c r="S62" s="77">
        <f>+S24</f>
        <v>0</v>
      </c>
      <c r="T62" s="78">
        <f aca="true" t="shared" si="39" ref="T62:T73">SUM(R62:S62)</f>
        <v>30000</v>
      </c>
      <c r="U62" s="76">
        <v>30000</v>
      </c>
      <c r="V62" s="77">
        <v>0</v>
      </c>
      <c r="W62" s="78">
        <f aca="true" t="shared" si="40" ref="W62:W73">SUM(U62:V62)</f>
        <v>30000</v>
      </c>
      <c r="X62" s="76">
        <v>0</v>
      </c>
      <c r="Y62" s="77">
        <v>0</v>
      </c>
      <c r="Z62" s="78">
        <f aca="true" t="shared" si="41" ref="Z62:Z73">X62+Y62</f>
        <v>0</v>
      </c>
    </row>
    <row r="63" spans="1:26" ht="11.25">
      <c r="A63" s="74">
        <f aca="true" t="shared" si="42" ref="A63:B74">A25</f>
        <v>19</v>
      </c>
      <c r="B63" s="74" t="str">
        <f t="shared" si="42"/>
        <v>TID 40 - Northside</v>
      </c>
      <c r="C63" s="2"/>
      <c r="D63" s="2"/>
      <c r="E63" s="2"/>
      <c r="F63" s="1">
        <f aca="true" t="shared" si="43" ref="F63:G73">F25</f>
        <v>0</v>
      </c>
      <c r="G63" s="2">
        <f t="shared" si="43"/>
        <v>0</v>
      </c>
      <c r="H63" s="3">
        <f t="shared" si="35"/>
        <v>0</v>
      </c>
      <c r="I63" s="2">
        <f aca="true" t="shared" si="44" ref="I63:J74">I25</f>
        <v>0</v>
      </c>
      <c r="J63" s="2">
        <f t="shared" si="44"/>
        <v>0</v>
      </c>
      <c r="K63" s="4">
        <f t="shared" si="36"/>
        <v>0</v>
      </c>
      <c r="L63" s="2">
        <f aca="true" t="shared" si="45" ref="L63:M74">+L25</f>
        <v>0</v>
      </c>
      <c r="M63" s="2">
        <f t="shared" si="45"/>
        <v>0</v>
      </c>
      <c r="N63" s="2">
        <f t="shared" si="37"/>
        <v>0</v>
      </c>
      <c r="O63" s="5">
        <f aca="true" t="shared" si="46" ref="O63:P74">+O25</f>
        <v>0</v>
      </c>
      <c r="P63" s="2">
        <f t="shared" si="46"/>
        <v>0</v>
      </c>
      <c r="Q63" s="4">
        <f t="shared" si="38"/>
        <v>0</v>
      </c>
      <c r="R63" s="2">
        <f aca="true" t="shared" si="47" ref="R63:R74">R25</f>
        <v>0</v>
      </c>
      <c r="S63" s="2">
        <f aca="true" t="shared" si="48" ref="S63:S74">+S25</f>
        <v>0</v>
      </c>
      <c r="T63" s="3">
        <f t="shared" si="39"/>
        <v>0</v>
      </c>
      <c r="U63" s="2">
        <v>0</v>
      </c>
      <c r="V63" s="2">
        <v>0</v>
      </c>
      <c r="W63" s="3">
        <f t="shared" si="40"/>
        <v>0</v>
      </c>
      <c r="X63" s="2">
        <v>0</v>
      </c>
      <c r="Y63" s="2">
        <v>0</v>
      </c>
      <c r="Z63" s="3">
        <f t="shared" si="41"/>
        <v>0</v>
      </c>
    </row>
    <row r="64" spans="1:26" ht="11.25">
      <c r="A64" s="74">
        <f t="shared" si="42"/>
        <v>20</v>
      </c>
      <c r="B64" s="74" t="str">
        <f t="shared" si="42"/>
        <v>TID 41 - University / Whitney</v>
      </c>
      <c r="C64" s="2"/>
      <c r="D64" s="2"/>
      <c r="E64" s="2"/>
      <c r="F64" s="1">
        <f t="shared" si="43"/>
        <v>0</v>
      </c>
      <c r="G64" s="2">
        <f t="shared" si="43"/>
        <v>0</v>
      </c>
      <c r="H64" s="3">
        <f t="shared" si="35"/>
        <v>0</v>
      </c>
      <c r="I64" s="2">
        <f t="shared" si="44"/>
        <v>0</v>
      </c>
      <c r="J64" s="2">
        <f t="shared" si="44"/>
        <v>0</v>
      </c>
      <c r="K64" s="4">
        <f t="shared" si="36"/>
        <v>0</v>
      </c>
      <c r="L64" s="2">
        <f t="shared" si="45"/>
        <v>0</v>
      </c>
      <c r="M64" s="2">
        <f t="shared" si="45"/>
        <v>0</v>
      </c>
      <c r="N64" s="2">
        <f t="shared" si="37"/>
        <v>0</v>
      </c>
      <c r="O64" s="5">
        <f t="shared" si="46"/>
        <v>0</v>
      </c>
      <c r="P64" s="2">
        <f t="shared" si="46"/>
        <v>0</v>
      </c>
      <c r="Q64" s="4">
        <f t="shared" si="38"/>
        <v>0</v>
      </c>
      <c r="R64" s="2">
        <f t="shared" si="47"/>
        <v>0</v>
      </c>
      <c r="S64" s="2">
        <f t="shared" si="48"/>
        <v>0</v>
      </c>
      <c r="T64" s="3">
        <f t="shared" si="39"/>
        <v>0</v>
      </c>
      <c r="U64" s="2">
        <v>0</v>
      </c>
      <c r="V64" s="2">
        <v>0</v>
      </c>
      <c r="W64" s="3">
        <f t="shared" si="40"/>
        <v>0</v>
      </c>
      <c r="X64" s="2">
        <v>0</v>
      </c>
      <c r="Y64" s="2">
        <v>0</v>
      </c>
      <c r="Z64" s="3">
        <f t="shared" si="41"/>
        <v>0</v>
      </c>
    </row>
    <row r="65" spans="1:26" ht="11.25">
      <c r="A65" s="75">
        <f t="shared" si="42"/>
        <v>21</v>
      </c>
      <c r="B65" s="75" t="str">
        <f t="shared" si="42"/>
        <v>TID 42 - Wingra</v>
      </c>
      <c r="C65" s="76"/>
      <c r="D65" s="77"/>
      <c r="E65" s="77"/>
      <c r="F65" s="76">
        <v>30000</v>
      </c>
      <c r="G65" s="77">
        <f t="shared" si="43"/>
        <v>0</v>
      </c>
      <c r="H65" s="78">
        <f t="shared" si="35"/>
        <v>30000</v>
      </c>
      <c r="I65" s="77">
        <v>30000</v>
      </c>
      <c r="J65" s="77">
        <f t="shared" si="44"/>
        <v>0</v>
      </c>
      <c r="K65" s="79">
        <f t="shared" si="36"/>
        <v>30000</v>
      </c>
      <c r="L65" s="77">
        <v>30000</v>
      </c>
      <c r="M65" s="77">
        <f t="shared" si="45"/>
        <v>0</v>
      </c>
      <c r="N65" s="79">
        <f t="shared" si="37"/>
        <v>30000</v>
      </c>
      <c r="O65" s="77">
        <v>30000</v>
      </c>
      <c r="P65" s="77">
        <f t="shared" si="46"/>
        <v>0</v>
      </c>
      <c r="Q65" s="79">
        <f t="shared" si="38"/>
        <v>30000</v>
      </c>
      <c r="R65" s="80">
        <v>30000</v>
      </c>
      <c r="S65" s="77">
        <f t="shared" si="48"/>
        <v>0</v>
      </c>
      <c r="T65" s="78">
        <f t="shared" si="39"/>
        <v>30000</v>
      </c>
      <c r="U65" s="76">
        <v>30000</v>
      </c>
      <c r="V65" s="77">
        <v>0</v>
      </c>
      <c r="W65" s="78">
        <f t="shared" si="40"/>
        <v>30000</v>
      </c>
      <c r="X65" s="76">
        <v>0</v>
      </c>
      <c r="Y65" s="77">
        <v>0</v>
      </c>
      <c r="Z65" s="78">
        <f t="shared" si="41"/>
        <v>0</v>
      </c>
    </row>
    <row r="66" spans="1:26" ht="11.25">
      <c r="A66" s="74">
        <f t="shared" si="42"/>
        <v>22</v>
      </c>
      <c r="B66" s="74" t="str">
        <f t="shared" si="42"/>
        <v>TID 43 - Royster Clark</v>
      </c>
      <c r="C66" s="2"/>
      <c r="D66" s="2"/>
      <c r="E66" s="2"/>
      <c r="F66" s="1">
        <f t="shared" si="43"/>
        <v>0</v>
      </c>
      <c r="G66" s="2">
        <f t="shared" si="43"/>
        <v>0</v>
      </c>
      <c r="H66" s="3">
        <f t="shared" si="35"/>
        <v>0</v>
      </c>
      <c r="I66" s="2">
        <f t="shared" si="44"/>
        <v>0</v>
      </c>
      <c r="J66" s="2">
        <f t="shared" si="44"/>
        <v>0</v>
      </c>
      <c r="K66" s="4">
        <f t="shared" si="36"/>
        <v>0</v>
      </c>
      <c r="L66" s="2">
        <f t="shared" si="45"/>
        <v>0</v>
      </c>
      <c r="M66" s="2">
        <f t="shared" si="45"/>
        <v>0</v>
      </c>
      <c r="N66" s="2">
        <f t="shared" si="37"/>
        <v>0</v>
      </c>
      <c r="O66" s="5">
        <f t="shared" si="46"/>
        <v>0</v>
      </c>
      <c r="P66" s="2">
        <f t="shared" si="46"/>
        <v>0</v>
      </c>
      <c r="Q66" s="4">
        <f t="shared" si="38"/>
        <v>0</v>
      </c>
      <c r="R66" s="2">
        <f t="shared" si="47"/>
        <v>0</v>
      </c>
      <c r="S66" s="2">
        <f t="shared" si="48"/>
        <v>0</v>
      </c>
      <c r="T66" s="3">
        <f t="shared" si="39"/>
        <v>0</v>
      </c>
      <c r="U66" s="2">
        <v>0</v>
      </c>
      <c r="V66" s="2">
        <v>0</v>
      </c>
      <c r="W66" s="3">
        <f t="shared" si="40"/>
        <v>0</v>
      </c>
      <c r="X66" s="2">
        <v>0</v>
      </c>
      <c r="Y66" s="2">
        <v>0</v>
      </c>
      <c r="Z66" s="3">
        <f t="shared" si="41"/>
        <v>0</v>
      </c>
    </row>
    <row r="67" spans="1:26" ht="11.25">
      <c r="A67" s="74">
        <f t="shared" si="42"/>
        <v>23</v>
      </c>
      <c r="B67" s="74" t="str">
        <f t="shared" si="42"/>
        <v>TID XX - John Nolen Drive</v>
      </c>
      <c r="C67" s="2"/>
      <c r="D67" s="2"/>
      <c r="E67" s="2"/>
      <c r="F67" s="1">
        <f t="shared" si="43"/>
        <v>0</v>
      </c>
      <c r="G67" s="2">
        <f t="shared" si="43"/>
        <v>0</v>
      </c>
      <c r="H67" s="3">
        <f t="shared" si="35"/>
        <v>0</v>
      </c>
      <c r="I67" s="2">
        <f t="shared" si="44"/>
        <v>0</v>
      </c>
      <c r="J67" s="2">
        <f t="shared" si="44"/>
        <v>0</v>
      </c>
      <c r="K67" s="4">
        <f t="shared" si="36"/>
        <v>0</v>
      </c>
      <c r="L67" s="2">
        <f t="shared" si="45"/>
        <v>0</v>
      </c>
      <c r="M67" s="2">
        <f t="shared" si="45"/>
        <v>0</v>
      </c>
      <c r="N67" s="2">
        <f t="shared" si="37"/>
        <v>0</v>
      </c>
      <c r="O67" s="5">
        <f t="shared" si="46"/>
        <v>0</v>
      </c>
      <c r="P67" s="2">
        <f t="shared" si="46"/>
        <v>0</v>
      </c>
      <c r="Q67" s="4">
        <f t="shared" si="38"/>
        <v>0</v>
      </c>
      <c r="R67" s="2">
        <f t="shared" si="47"/>
        <v>0</v>
      </c>
      <c r="S67" s="2">
        <f t="shared" si="48"/>
        <v>0</v>
      </c>
      <c r="T67" s="3">
        <f t="shared" si="39"/>
        <v>0</v>
      </c>
      <c r="U67" s="2">
        <v>0</v>
      </c>
      <c r="V67" s="2">
        <v>0</v>
      </c>
      <c r="W67" s="3">
        <f t="shared" si="40"/>
        <v>0</v>
      </c>
      <c r="X67" s="2">
        <v>0</v>
      </c>
      <c r="Y67" s="2">
        <v>0</v>
      </c>
      <c r="Z67" s="3">
        <f t="shared" si="41"/>
        <v>0</v>
      </c>
    </row>
    <row r="68" spans="1:26" ht="11.25">
      <c r="A68" s="75">
        <f t="shared" si="42"/>
        <v>24</v>
      </c>
      <c r="B68" s="75"/>
      <c r="C68" s="76"/>
      <c r="D68" s="77"/>
      <c r="E68" s="77"/>
      <c r="F68" s="76">
        <f t="shared" si="43"/>
        <v>0</v>
      </c>
      <c r="G68" s="77">
        <f t="shared" si="43"/>
        <v>0</v>
      </c>
      <c r="H68" s="78">
        <f t="shared" si="35"/>
        <v>0</v>
      </c>
      <c r="I68" s="77">
        <f t="shared" si="44"/>
        <v>0</v>
      </c>
      <c r="J68" s="77">
        <f t="shared" si="44"/>
        <v>0</v>
      </c>
      <c r="K68" s="79">
        <f t="shared" si="36"/>
        <v>0</v>
      </c>
      <c r="L68" s="77">
        <f t="shared" si="45"/>
        <v>0</v>
      </c>
      <c r="M68" s="77">
        <f t="shared" si="45"/>
        <v>0</v>
      </c>
      <c r="N68" s="79">
        <f t="shared" si="37"/>
        <v>0</v>
      </c>
      <c r="O68" s="77">
        <f t="shared" si="46"/>
        <v>0</v>
      </c>
      <c r="P68" s="77">
        <f t="shared" si="46"/>
        <v>0</v>
      </c>
      <c r="Q68" s="79">
        <f t="shared" si="38"/>
        <v>0</v>
      </c>
      <c r="R68" s="80">
        <f t="shared" si="47"/>
        <v>0</v>
      </c>
      <c r="S68" s="77">
        <f t="shared" si="48"/>
        <v>0</v>
      </c>
      <c r="T68" s="78">
        <f t="shared" si="39"/>
        <v>0</v>
      </c>
      <c r="U68" s="76">
        <v>0</v>
      </c>
      <c r="V68" s="77">
        <v>0</v>
      </c>
      <c r="W68" s="78">
        <f t="shared" si="40"/>
        <v>0</v>
      </c>
      <c r="X68" s="76">
        <v>0</v>
      </c>
      <c r="Y68" s="77">
        <v>0</v>
      </c>
      <c r="Z68" s="78">
        <f t="shared" si="41"/>
        <v>0</v>
      </c>
    </row>
    <row r="69" spans="1:26" ht="11.25">
      <c r="A69" s="74">
        <f t="shared" si="42"/>
        <v>25</v>
      </c>
      <c r="B69" s="74" t="str">
        <f t="shared" si="42"/>
        <v>TID 32 - Upper State Street Corridor</v>
      </c>
      <c r="C69" s="2"/>
      <c r="D69" s="2"/>
      <c r="E69" s="2"/>
      <c r="F69" s="1">
        <v>332000</v>
      </c>
      <c r="G69" s="2">
        <f t="shared" si="43"/>
        <v>0</v>
      </c>
      <c r="H69" s="3">
        <f t="shared" si="35"/>
        <v>332000</v>
      </c>
      <c r="I69" s="2">
        <v>200000</v>
      </c>
      <c r="J69" s="2">
        <f t="shared" si="44"/>
        <v>0</v>
      </c>
      <c r="K69" s="4">
        <f t="shared" si="36"/>
        <v>200000</v>
      </c>
      <c r="L69" s="2">
        <v>200000</v>
      </c>
      <c r="M69" s="2">
        <f t="shared" si="45"/>
        <v>0</v>
      </c>
      <c r="N69" s="2">
        <f t="shared" si="37"/>
        <v>200000</v>
      </c>
      <c r="O69" s="5">
        <v>200000</v>
      </c>
      <c r="P69" s="2">
        <f t="shared" si="46"/>
        <v>0</v>
      </c>
      <c r="Q69" s="4">
        <f t="shared" si="38"/>
        <v>200000</v>
      </c>
      <c r="R69" s="2">
        <v>200000</v>
      </c>
      <c r="S69" s="2">
        <f t="shared" si="48"/>
        <v>0</v>
      </c>
      <c r="T69" s="3">
        <f t="shared" si="39"/>
        <v>200000</v>
      </c>
      <c r="U69" s="2">
        <v>200000</v>
      </c>
      <c r="V69" s="2">
        <v>0</v>
      </c>
      <c r="W69" s="3">
        <f t="shared" si="40"/>
        <v>200000</v>
      </c>
      <c r="X69" s="2">
        <v>0</v>
      </c>
      <c r="Y69" s="2">
        <v>0</v>
      </c>
      <c r="Z69" s="3">
        <f t="shared" si="41"/>
        <v>0</v>
      </c>
    </row>
    <row r="70" spans="1:26" ht="11.25">
      <c r="A70" s="74">
        <f t="shared" si="42"/>
        <v>26</v>
      </c>
      <c r="B70" s="74" t="str">
        <f t="shared" si="42"/>
        <v>Economic Development Plan</v>
      </c>
      <c r="C70" s="2"/>
      <c r="D70" s="2"/>
      <c r="E70" s="2"/>
      <c r="F70" s="1">
        <v>175000</v>
      </c>
      <c r="G70" s="2">
        <f t="shared" si="43"/>
        <v>0</v>
      </c>
      <c r="H70" s="3">
        <f t="shared" si="35"/>
        <v>175000</v>
      </c>
      <c r="I70" s="2">
        <f t="shared" si="44"/>
        <v>0</v>
      </c>
      <c r="J70" s="2">
        <f t="shared" si="44"/>
        <v>0</v>
      </c>
      <c r="K70" s="4">
        <f t="shared" si="36"/>
        <v>0</v>
      </c>
      <c r="L70" s="2">
        <f t="shared" si="45"/>
        <v>0</v>
      </c>
      <c r="M70" s="2">
        <f t="shared" si="45"/>
        <v>0</v>
      </c>
      <c r="N70" s="2">
        <f t="shared" si="37"/>
        <v>0</v>
      </c>
      <c r="O70" s="5">
        <f t="shared" si="46"/>
        <v>0</v>
      </c>
      <c r="P70" s="2">
        <f t="shared" si="46"/>
        <v>0</v>
      </c>
      <c r="Q70" s="4">
        <f t="shared" si="38"/>
        <v>0</v>
      </c>
      <c r="R70" s="2">
        <f t="shared" si="47"/>
        <v>0</v>
      </c>
      <c r="S70" s="2">
        <f t="shared" si="48"/>
        <v>0</v>
      </c>
      <c r="T70" s="3">
        <f t="shared" si="39"/>
        <v>0</v>
      </c>
      <c r="U70" s="2">
        <v>0</v>
      </c>
      <c r="V70" s="2">
        <v>0</v>
      </c>
      <c r="W70" s="3">
        <f t="shared" si="40"/>
        <v>0</v>
      </c>
      <c r="X70" s="2">
        <v>0</v>
      </c>
      <c r="Y70" s="2">
        <v>0</v>
      </c>
      <c r="Z70" s="3">
        <f t="shared" si="41"/>
        <v>0</v>
      </c>
    </row>
    <row r="71" spans="1:26" ht="11.25">
      <c r="A71" s="75">
        <f t="shared" si="42"/>
        <v>27</v>
      </c>
      <c r="B71" s="75" t="str">
        <f t="shared" si="42"/>
        <v>Tax Incremental Finance Districts</v>
      </c>
      <c r="C71" s="76"/>
      <c r="D71" s="77"/>
      <c r="E71" s="77"/>
      <c r="F71" s="76">
        <v>1368000</v>
      </c>
      <c r="G71" s="77">
        <f t="shared" si="43"/>
        <v>0</v>
      </c>
      <c r="H71" s="78">
        <f t="shared" si="35"/>
        <v>1368000</v>
      </c>
      <c r="I71" s="77">
        <f t="shared" si="44"/>
        <v>0</v>
      </c>
      <c r="J71" s="77">
        <f t="shared" si="44"/>
        <v>0</v>
      </c>
      <c r="K71" s="79">
        <f t="shared" si="36"/>
        <v>0</v>
      </c>
      <c r="L71" s="77">
        <f t="shared" si="45"/>
        <v>0</v>
      </c>
      <c r="M71" s="77">
        <f t="shared" si="45"/>
        <v>0</v>
      </c>
      <c r="N71" s="79">
        <f t="shared" si="37"/>
        <v>0</v>
      </c>
      <c r="O71" s="77">
        <f t="shared" si="46"/>
        <v>0</v>
      </c>
      <c r="P71" s="77">
        <f t="shared" si="46"/>
        <v>0</v>
      </c>
      <c r="Q71" s="79">
        <f t="shared" si="38"/>
        <v>0</v>
      </c>
      <c r="R71" s="80">
        <f t="shared" si="47"/>
        <v>0</v>
      </c>
      <c r="S71" s="77">
        <f t="shared" si="48"/>
        <v>0</v>
      </c>
      <c r="T71" s="78">
        <f t="shared" si="39"/>
        <v>0</v>
      </c>
      <c r="U71" s="76">
        <v>0</v>
      </c>
      <c r="V71" s="77">
        <v>0</v>
      </c>
      <c r="W71" s="78">
        <f t="shared" si="40"/>
        <v>0</v>
      </c>
      <c r="X71" s="76">
        <v>0</v>
      </c>
      <c r="Y71" s="77">
        <v>0</v>
      </c>
      <c r="Z71" s="78">
        <f t="shared" si="41"/>
        <v>0</v>
      </c>
    </row>
    <row r="72" spans="1:26" ht="11.25">
      <c r="A72" s="74">
        <f t="shared" si="42"/>
        <v>28</v>
      </c>
      <c r="B72" s="74" t="str">
        <f t="shared" si="42"/>
        <v>Public Market (New)</v>
      </c>
      <c r="C72" s="2"/>
      <c r="D72" s="2"/>
      <c r="E72" s="2"/>
      <c r="F72" s="1">
        <v>3500000</v>
      </c>
      <c r="G72" s="2">
        <f t="shared" si="43"/>
        <v>0</v>
      </c>
      <c r="H72" s="3">
        <f t="shared" si="35"/>
        <v>3500000</v>
      </c>
      <c r="I72" s="2">
        <f t="shared" si="44"/>
        <v>0</v>
      </c>
      <c r="J72" s="2">
        <f t="shared" si="44"/>
        <v>0</v>
      </c>
      <c r="K72" s="4">
        <f t="shared" si="36"/>
        <v>0</v>
      </c>
      <c r="L72" s="2">
        <f t="shared" si="45"/>
        <v>0</v>
      </c>
      <c r="M72" s="2">
        <f t="shared" si="45"/>
        <v>0</v>
      </c>
      <c r="N72" s="2">
        <f t="shared" si="37"/>
        <v>0</v>
      </c>
      <c r="O72" s="5">
        <f t="shared" si="46"/>
        <v>0</v>
      </c>
      <c r="P72" s="2">
        <f t="shared" si="46"/>
        <v>0</v>
      </c>
      <c r="Q72" s="4">
        <f t="shared" si="38"/>
        <v>0</v>
      </c>
      <c r="R72" s="2">
        <f t="shared" si="47"/>
        <v>0</v>
      </c>
      <c r="S72" s="2">
        <f t="shared" si="48"/>
        <v>0</v>
      </c>
      <c r="T72" s="3">
        <f t="shared" si="39"/>
        <v>0</v>
      </c>
      <c r="U72" s="2">
        <v>0</v>
      </c>
      <c r="V72" s="2">
        <v>0</v>
      </c>
      <c r="W72" s="3">
        <f t="shared" si="40"/>
        <v>0</v>
      </c>
      <c r="X72" s="2">
        <v>0</v>
      </c>
      <c r="Y72" s="2">
        <v>0</v>
      </c>
      <c r="Z72" s="3">
        <f t="shared" si="41"/>
        <v>0</v>
      </c>
    </row>
    <row r="73" spans="1:26" ht="11.25">
      <c r="A73" s="74">
        <f t="shared" si="42"/>
        <v>29</v>
      </c>
      <c r="B73" s="74" t="str">
        <f t="shared" si="42"/>
        <v>TID XX - West Beltline</v>
      </c>
      <c r="C73" s="2"/>
      <c r="D73" s="2"/>
      <c r="E73" s="2"/>
      <c r="F73" s="1">
        <f t="shared" si="43"/>
        <v>0</v>
      </c>
      <c r="G73" s="2">
        <v>0</v>
      </c>
      <c r="H73" s="3">
        <f t="shared" si="35"/>
        <v>0</v>
      </c>
      <c r="I73" s="2">
        <f t="shared" si="44"/>
        <v>0</v>
      </c>
      <c r="J73" s="2">
        <f t="shared" si="44"/>
        <v>0</v>
      </c>
      <c r="K73" s="4">
        <f t="shared" si="36"/>
        <v>0</v>
      </c>
      <c r="L73" s="2">
        <f t="shared" si="45"/>
        <v>0</v>
      </c>
      <c r="M73" s="2">
        <f t="shared" si="45"/>
        <v>0</v>
      </c>
      <c r="N73" s="2">
        <f t="shared" si="37"/>
        <v>0</v>
      </c>
      <c r="O73" s="5">
        <f t="shared" si="46"/>
        <v>0</v>
      </c>
      <c r="P73" s="2">
        <f t="shared" si="46"/>
        <v>0</v>
      </c>
      <c r="Q73" s="4">
        <f t="shared" si="38"/>
        <v>0</v>
      </c>
      <c r="R73" s="2">
        <f t="shared" si="47"/>
        <v>0</v>
      </c>
      <c r="S73" s="2">
        <f t="shared" si="48"/>
        <v>0</v>
      </c>
      <c r="T73" s="3">
        <f t="shared" si="39"/>
        <v>0</v>
      </c>
      <c r="U73" s="2">
        <v>0</v>
      </c>
      <c r="V73" s="2">
        <v>0</v>
      </c>
      <c r="W73" s="3">
        <f t="shared" si="40"/>
        <v>0</v>
      </c>
      <c r="X73" s="2">
        <v>0</v>
      </c>
      <c r="Y73" s="2">
        <v>0</v>
      </c>
      <c r="Z73" s="3">
        <f t="shared" si="41"/>
        <v>0</v>
      </c>
    </row>
    <row r="74" spans="1:26" ht="11.25">
      <c r="A74" s="75">
        <f t="shared" si="42"/>
        <v>30</v>
      </c>
      <c r="B74" s="75" t="str">
        <f t="shared" si="42"/>
        <v>TID 35 - Todd Drive / West Beltline</v>
      </c>
      <c r="C74" s="76"/>
      <c r="D74" s="77"/>
      <c r="E74" s="77"/>
      <c r="F74" s="76">
        <v>0</v>
      </c>
      <c r="G74" s="77">
        <v>500000</v>
      </c>
      <c r="H74" s="78">
        <f>SUM(F74:G74)</f>
        <v>500000</v>
      </c>
      <c r="I74" s="77">
        <f t="shared" si="44"/>
        <v>0</v>
      </c>
      <c r="J74" s="77">
        <f t="shared" si="44"/>
        <v>0</v>
      </c>
      <c r="K74" s="79">
        <f>SUM(I74:J74)</f>
        <v>0</v>
      </c>
      <c r="L74" s="77">
        <f t="shared" si="45"/>
        <v>0</v>
      </c>
      <c r="M74" s="77">
        <f t="shared" si="45"/>
        <v>0</v>
      </c>
      <c r="N74" s="79">
        <f>SUM(L74:M74)</f>
        <v>0</v>
      </c>
      <c r="O74" s="77">
        <f t="shared" si="46"/>
        <v>0</v>
      </c>
      <c r="P74" s="77">
        <f t="shared" si="46"/>
        <v>0</v>
      </c>
      <c r="Q74" s="79">
        <f>SUM(O74:P74)</f>
        <v>0</v>
      </c>
      <c r="R74" s="80">
        <f t="shared" si="47"/>
        <v>0</v>
      </c>
      <c r="S74" s="77">
        <f t="shared" si="48"/>
        <v>0</v>
      </c>
      <c r="T74" s="78">
        <f>SUM(R74:S74)</f>
        <v>0</v>
      </c>
      <c r="U74" s="76">
        <v>0</v>
      </c>
      <c r="V74" s="77">
        <v>0</v>
      </c>
      <c r="W74" s="78">
        <f>SUM(U74:V74)</f>
        <v>0</v>
      </c>
      <c r="X74" s="76">
        <v>0</v>
      </c>
      <c r="Y74" s="77">
        <v>0</v>
      </c>
      <c r="Z74" s="78">
        <f>X74+Y74</f>
        <v>0</v>
      </c>
    </row>
    <row r="75" spans="1:26" ht="12" thickBot="1">
      <c r="A75" s="62"/>
      <c r="B75" s="62" t="s">
        <v>3</v>
      </c>
      <c r="C75" s="2"/>
      <c r="D75" s="2"/>
      <c r="E75" s="2"/>
      <c r="F75" s="81">
        <f aca="true" t="shared" si="49" ref="F75:Z75">SUM(F45:F74)</f>
        <v>7740000</v>
      </c>
      <c r="G75" s="82">
        <f t="shared" si="49"/>
        <v>3190000</v>
      </c>
      <c r="H75" s="83">
        <f t="shared" si="49"/>
        <v>10930000</v>
      </c>
      <c r="I75" s="81">
        <f t="shared" si="49"/>
        <v>2185000</v>
      </c>
      <c r="J75" s="82">
        <f t="shared" si="49"/>
        <v>500000</v>
      </c>
      <c r="K75" s="83">
        <f t="shared" si="49"/>
        <v>2685000</v>
      </c>
      <c r="L75" s="81">
        <f t="shared" si="49"/>
        <v>2260000</v>
      </c>
      <c r="M75" s="82">
        <f t="shared" si="49"/>
        <v>500000</v>
      </c>
      <c r="N75" s="83">
        <f t="shared" si="49"/>
        <v>2760000</v>
      </c>
      <c r="O75" s="81">
        <f t="shared" si="49"/>
        <v>2260000</v>
      </c>
      <c r="P75" s="82">
        <f t="shared" si="49"/>
        <v>0</v>
      </c>
      <c r="Q75" s="83">
        <f t="shared" si="49"/>
        <v>2260000</v>
      </c>
      <c r="R75" s="81">
        <f t="shared" si="49"/>
        <v>2260000</v>
      </c>
      <c r="S75" s="82">
        <f t="shared" si="49"/>
        <v>0</v>
      </c>
      <c r="T75" s="83">
        <f t="shared" si="49"/>
        <v>2260000</v>
      </c>
      <c r="U75" s="81">
        <f t="shared" si="49"/>
        <v>6260000</v>
      </c>
      <c r="V75" s="82">
        <f t="shared" si="49"/>
        <v>0</v>
      </c>
      <c r="W75" s="83">
        <f t="shared" si="49"/>
        <v>6260000</v>
      </c>
      <c r="X75" s="81">
        <f t="shared" si="49"/>
        <v>0</v>
      </c>
      <c r="Y75" s="82">
        <f t="shared" si="49"/>
        <v>0</v>
      </c>
      <c r="Z75" s="83">
        <f t="shared" si="49"/>
        <v>0</v>
      </c>
    </row>
    <row r="76" spans="1:26" ht="11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2"/>
      <c r="Y76" s="2"/>
      <c r="Z76" s="2"/>
    </row>
    <row r="77" spans="1:26" ht="11.25">
      <c r="A77" s="62"/>
      <c r="B77" s="62" t="s">
        <v>36</v>
      </c>
      <c r="C77" s="62"/>
      <c r="D77" s="62"/>
      <c r="E77" s="62"/>
      <c r="F77" s="62">
        <f>F75</f>
        <v>7740000</v>
      </c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2"/>
      <c r="Y77" s="2"/>
      <c r="Z77" s="2"/>
    </row>
    <row r="78" spans="1:26" ht="11.25">
      <c r="A78" s="62"/>
      <c r="B78" s="62" t="s">
        <v>38</v>
      </c>
      <c r="C78" s="62"/>
      <c r="D78" s="62"/>
      <c r="E78" s="62"/>
      <c r="F78" s="84">
        <f>-30000-175000-665000</f>
        <v>-870000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2"/>
      <c r="Y78" s="2"/>
      <c r="Z78" s="2"/>
    </row>
    <row r="79" spans="1:26" ht="11.25">
      <c r="A79" s="62"/>
      <c r="B79" s="62" t="s">
        <v>37</v>
      </c>
      <c r="C79" s="62"/>
      <c r="D79" s="62"/>
      <c r="E79" s="62"/>
      <c r="F79" s="62">
        <f>SUM(F77:F78)</f>
        <v>6870000</v>
      </c>
      <c r="G79" s="62"/>
      <c r="H79" s="62"/>
      <c r="I79" s="62">
        <f>F79+I75</f>
        <v>9055000</v>
      </c>
      <c r="J79" s="62"/>
      <c r="K79" s="62"/>
      <c r="L79" s="62">
        <f>I79+L75</f>
        <v>11315000</v>
      </c>
      <c r="M79" s="62"/>
      <c r="N79" s="62"/>
      <c r="O79" s="62">
        <f>L79+O75</f>
        <v>13575000</v>
      </c>
      <c r="P79" s="62"/>
      <c r="Q79" s="62"/>
      <c r="R79" s="62">
        <f>O79+R75</f>
        <v>15835000</v>
      </c>
      <c r="S79" s="62"/>
      <c r="T79" s="62"/>
      <c r="U79" s="62"/>
      <c r="V79" s="62"/>
      <c r="W79" s="62"/>
      <c r="X79" s="2">
        <f>F75+I75+L75+O75+R75+F78</f>
        <v>15835000</v>
      </c>
      <c r="Y79" s="2" t="s">
        <v>8</v>
      </c>
      <c r="Z79" s="2"/>
    </row>
    <row r="80" spans="1:26" ht="11.25">
      <c r="A80" s="62"/>
      <c r="B80" s="62" t="s">
        <v>21</v>
      </c>
      <c r="C80" s="62"/>
      <c r="D80" s="62"/>
      <c r="E80" s="62"/>
      <c r="F80" s="84">
        <f>F77-F38+F78</f>
        <v>0</v>
      </c>
      <c r="G80" s="62"/>
      <c r="H80" s="62"/>
      <c r="I80" s="84">
        <f>I79-I38</f>
        <v>-560000</v>
      </c>
      <c r="J80" s="84"/>
      <c r="K80" s="84"/>
      <c r="L80" s="84">
        <f>L79-L38</f>
        <v>-120000</v>
      </c>
      <c r="M80" s="84"/>
      <c r="N80" s="84"/>
      <c r="O80" s="84">
        <f>O79-O38</f>
        <v>-680000</v>
      </c>
      <c r="P80" s="84"/>
      <c r="Q80" s="84"/>
      <c r="R80" s="85">
        <f>R79-R38</f>
        <v>-240000</v>
      </c>
      <c r="S80" s="62" t="s">
        <v>21</v>
      </c>
      <c r="T80" s="62"/>
      <c r="U80" s="62"/>
      <c r="V80" s="62"/>
      <c r="W80" s="62"/>
      <c r="X80" s="2"/>
      <c r="Y80" s="2"/>
      <c r="Z80" s="2"/>
    </row>
    <row r="81" spans="1:26" ht="12" thickBo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2"/>
      <c r="Y81" s="2"/>
      <c r="Z81" s="2"/>
    </row>
    <row r="82" spans="1:26" ht="12.75">
      <c r="A82" s="62"/>
      <c r="B82" s="62"/>
      <c r="C82" s="86"/>
      <c r="D82" s="86"/>
      <c r="E82" s="87"/>
      <c r="F82" s="88" t="s">
        <v>30</v>
      </c>
      <c r="G82" s="89"/>
      <c r="H82" s="90"/>
      <c r="I82" s="89" t="s">
        <v>31</v>
      </c>
      <c r="J82" s="89"/>
      <c r="K82" s="90"/>
      <c r="L82" s="88" t="s">
        <v>32</v>
      </c>
      <c r="M82" s="89"/>
      <c r="N82" s="90"/>
      <c r="O82" s="88" t="s">
        <v>33</v>
      </c>
      <c r="P82" s="89"/>
      <c r="Q82" s="90"/>
      <c r="R82" s="95" t="s">
        <v>34</v>
      </c>
      <c r="S82" s="96"/>
      <c r="T82" s="97"/>
      <c r="U82" s="95" t="s">
        <v>35</v>
      </c>
      <c r="V82" s="96"/>
      <c r="W82" s="97"/>
      <c r="X82" s="95" t="s">
        <v>20</v>
      </c>
      <c r="Y82" s="96"/>
      <c r="Z82" s="97"/>
    </row>
    <row r="83" spans="1:26" ht="15.75" thickBot="1">
      <c r="A83" s="62"/>
      <c r="B83" s="68" t="s">
        <v>26</v>
      </c>
      <c r="C83" s="69"/>
      <c r="D83" s="69"/>
      <c r="E83" s="69"/>
      <c r="F83" s="70" t="s">
        <v>23</v>
      </c>
      <c r="G83" s="71" t="s">
        <v>2</v>
      </c>
      <c r="H83" s="72" t="s">
        <v>0</v>
      </c>
      <c r="I83" s="70" t="s">
        <v>23</v>
      </c>
      <c r="J83" s="71" t="s">
        <v>2</v>
      </c>
      <c r="K83" s="72" t="s">
        <v>0</v>
      </c>
      <c r="L83" s="70" t="s">
        <v>23</v>
      </c>
      <c r="M83" s="71" t="s">
        <v>2</v>
      </c>
      <c r="N83" s="72" t="s">
        <v>0</v>
      </c>
      <c r="O83" s="70" t="s">
        <v>23</v>
      </c>
      <c r="P83" s="71" t="s">
        <v>2</v>
      </c>
      <c r="Q83" s="72" t="s">
        <v>0</v>
      </c>
      <c r="R83" s="70" t="s">
        <v>23</v>
      </c>
      <c r="S83" s="71" t="s">
        <v>2</v>
      </c>
      <c r="T83" s="72" t="s">
        <v>0</v>
      </c>
      <c r="U83" s="70" t="s">
        <v>23</v>
      </c>
      <c r="V83" s="71" t="s">
        <v>2</v>
      </c>
      <c r="W83" s="72" t="s">
        <v>0</v>
      </c>
      <c r="X83" s="70" t="s">
        <v>23</v>
      </c>
      <c r="Y83" s="71" t="s">
        <v>2</v>
      </c>
      <c r="Z83" s="72" t="s">
        <v>0</v>
      </c>
    </row>
    <row r="84" spans="1:26" ht="11.25">
      <c r="A84" s="62"/>
      <c r="B84" s="62"/>
      <c r="C84" s="2"/>
      <c r="D84" s="2"/>
      <c r="E84" s="2"/>
      <c r="F84" s="1"/>
      <c r="G84" s="2"/>
      <c r="H84" s="3"/>
      <c r="I84" s="2"/>
      <c r="J84" s="2"/>
      <c r="K84" s="4"/>
      <c r="L84" s="2"/>
      <c r="M84" s="2"/>
      <c r="N84" s="2"/>
      <c r="O84" s="5"/>
      <c r="P84" s="2"/>
      <c r="Q84" s="4"/>
      <c r="R84" s="2"/>
      <c r="S84" s="2"/>
      <c r="T84" s="3"/>
      <c r="U84" s="1"/>
      <c r="V84" s="2"/>
      <c r="W84" s="3"/>
      <c r="X84" s="1"/>
      <c r="Y84" s="2"/>
      <c r="Z84" s="3"/>
    </row>
    <row r="85" spans="1:26" ht="11.25">
      <c r="A85" s="73" t="str">
        <f>A44</f>
        <v>Planning &amp; Develop:</v>
      </c>
      <c r="B85" s="62"/>
      <c r="C85" s="2"/>
      <c r="D85" s="2"/>
      <c r="E85" s="2"/>
      <c r="F85" s="1"/>
      <c r="G85" s="2"/>
      <c r="H85" s="3"/>
      <c r="I85" s="2"/>
      <c r="J85" s="2"/>
      <c r="K85" s="4"/>
      <c r="L85" s="2"/>
      <c r="M85" s="2"/>
      <c r="N85" s="2"/>
      <c r="O85" s="5"/>
      <c r="P85" s="2"/>
      <c r="Q85" s="4"/>
      <c r="R85" s="2"/>
      <c r="S85" s="2"/>
      <c r="T85" s="3"/>
      <c r="U85" s="1"/>
      <c r="V85" s="2"/>
      <c r="W85" s="3"/>
      <c r="X85" s="1"/>
      <c r="Y85" s="2"/>
      <c r="Z85" s="3"/>
    </row>
    <row r="86" spans="1:26" ht="11.25">
      <c r="A86" s="74">
        <f>A45</f>
        <v>1</v>
      </c>
      <c r="B86" s="74" t="str">
        <f>B45</f>
        <v>Municipal Art Fund</v>
      </c>
      <c r="C86" s="2"/>
      <c r="D86" s="2"/>
      <c r="E86" s="2"/>
      <c r="F86" s="1">
        <f>F45</f>
        <v>140000</v>
      </c>
      <c r="G86" s="2">
        <f>G45</f>
        <v>0</v>
      </c>
      <c r="H86" s="3">
        <f aca="true" t="shared" si="50" ref="H86:H96">SUM(F86:G86)</f>
        <v>140000</v>
      </c>
      <c r="I86" s="2">
        <f>I45</f>
        <v>80000</v>
      </c>
      <c r="J86" s="2">
        <f>J45</f>
        <v>0</v>
      </c>
      <c r="K86" s="4">
        <f aca="true" t="shared" si="51" ref="K86:K96">SUM(I86:J86)</f>
        <v>80000</v>
      </c>
      <c r="L86" s="2">
        <f>L45</f>
        <v>80000</v>
      </c>
      <c r="M86" s="2">
        <f>M45</f>
        <v>0</v>
      </c>
      <c r="N86" s="2">
        <f aca="true" t="shared" si="52" ref="N86:N96">SUM(L86:M86)</f>
        <v>80000</v>
      </c>
      <c r="O86" s="5">
        <f aca="true" t="shared" si="53" ref="O86:O103">O45</f>
        <v>80000</v>
      </c>
      <c r="P86" s="2">
        <f aca="true" t="shared" si="54" ref="P86:P103">+P45</f>
        <v>0</v>
      </c>
      <c r="Q86" s="4">
        <f aca="true" t="shared" si="55" ref="Q86:Q96">SUM(O86:P86)</f>
        <v>80000</v>
      </c>
      <c r="R86" s="2">
        <f>R45</f>
        <v>80000</v>
      </c>
      <c r="S86" s="2">
        <f>S45</f>
        <v>0</v>
      </c>
      <c r="T86" s="3">
        <f aca="true" t="shared" si="56" ref="T86:T96">SUM(R86:S86)</f>
        <v>80000</v>
      </c>
      <c r="U86" s="1">
        <v>80000</v>
      </c>
      <c r="V86" s="2">
        <v>0</v>
      </c>
      <c r="W86" s="3">
        <f aca="true" t="shared" si="57" ref="W86:W96">U86+V86</f>
        <v>80000</v>
      </c>
      <c r="X86" s="1">
        <v>0</v>
      </c>
      <c r="Y86" s="2">
        <v>0</v>
      </c>
      <c r="Z86" s="3">
        <f aca="true" t="shared" si="58" ref="Z86:Z96">X86+Y86</f>
        <v>0</v>
      </c>
    </row>
    <row r="87" spans="1:26" ht="11.25">
      <c r="A87" s="74">
        <f aca="true" t="shared" si="59" ref="A87:B96">A46</f>
        <v>2</v>
      </c>
      <c r="B87" s="74" t="str">
        <f t="shared" si="59"/>
        <v>Law Park Planning</v>
      </c>
      <c r="C87" s="2"/>
      <c r="D87" s="2"/>
      <c r="E87" s="2"/>
      <c r="F87" s="1">
        <f aca="true" t="shared" si="60" ref="F87:G96">F46</f>
        <v>100000</v>
      </c>
      <c r="G87" s="2">
        <f t="shared" si="60"/>
        <v>0</v>
      </c>
      <c r="H87" s="3">
        <f t="shared" si="50"/>
        <v>100000</v>
      </c>
      <c r="I87" s="2">
        <f aca="true" t="shared" si="61" ref="I87:J96">I46</f>
        <v>0</v>
      </c>
      <c r="J87" s="2">
        <f t="shared" si="61"/>
        <v>0</v>
      </c>
      <c r="K87" s="4">
        <f t="shared" si="51"/>
        <v>0</v>
      </c>
      <c r="L87" s="2">
        <f aca="true" t="shared" si="62" ref="L87:M96">L46</f>
        <v>0</v>
      </c>
      <c r="M87" s="2">
        <f t="shared" si="62"/>
        <v>0</v>
      </c>
      <c r="N87" s="2">
        <f t="shared" si="52"/>
        <v>0</v>
      </c>
      <c r="O87" s="5">
        <f t="shared" si="53"/>
        <v>0</v>
      </c>
      <c r="P87" s="2">
        <f t="shared" si="54"/>
        <v>0</v>
      </c>
      <c r="Q87" s="4">
        <f t="shared" si="55"/>
        <v>0</v>
      </c>
      <c r="R87" s="2">
        <f aca="true" t="shared" si="63" ref="R87:S96">R46</f>
        <v>0</v>
      </c>
      <c r="S87" s="2">
        <f t="shared" si="63"/>
        <v>0</v>
      </c>
      <c r="T87" s="3">
        <f t="shared" si="56"/>
        <v>0</v>
      </c>
      <c r="U87" s="1">
        <v>0</v>
      </c>
      <c r="V87" s="2">
        <v>0</v>
      </c>
      <c r="W87" s="3">
        <f t="shared" si="57"/>
        <v>0</v>
      </c>
      <c r="X87" s="1">
        <v>0</v>
      </c>
      <c r="Y87" s="2">
        <v>0</v>
      </c>
      <c r="Z87" s="3">
        <f t="shared" si="58"/>
        <v>0</v>
      </c>
    </row>
    <row r="88" spans="1:26" ht="11.25">
      <c r="A88" s="75">
        <f t="shared" si="59"/>
        <v>3</v>
      </c>
      <c r="B88" s="75" t="str">
        <f t="shared" si="59"/>
        <v>Lake Mendota Path</v>
      </c>
      <c r="C88" s="76"/>
      <c r="D88" s="77"/>
      <c r="E88" s="77"/>
      <c r="F88" s="76">
        <f t="shared" si="60"/>
        <v>0</v>
      </c>
      <c r="G88" s="77">
        <f t="shared" si="60"/>
        <v>0</v>
      </c>
      <c r="H88" s="78">
        <f t="shared" si="50"/>
        <v>0</v>
      </c>
      <c r="I88" s="77">
        <f t="shared" si="61"/>
        <v>75000</v>
      </c>
      <c r="J88" s="77">
        <f t="shared" si="61"/>
        <v>0</v>
      </c>
      <c r="K88" s="79">
        <f t="shared" si="51"/>
        <v>75000</v>
      </c>
      <c r="L88" s="77">
        <f t="shared" si="62"/>
        <v>500000</v>
      </c>
      <c r="M88" s="77">
        <f t="shared" si="62"/>
        <v>0</v>
      </c>
      <c r="N88" s="79">
        <f t="shared" si="52"/>
        <v>500000</v>
      </c>
      <c r="O88" s="77">
        <f t="shared" si="53"/>
        <v>500000</v>
      </c>
      <c r="P88" s="77">
        <f t="shared" si="54"/>
        <v>0</v>
      </c>
      <c r="Q88" s="79">
        <f t="shared" si="55"/>
        <v>500000</v>
      </c>
      <c r="R88" s="80">
        <f t="shared" si="63"/>
        <v>500000</v>
      </c>
      <c r="S88" s="77">
        <f t="shared" si="63"/>
        <v>0</v>
      </c>
      <c r="T88" s="78">
        <f t="shared" si="56"/>
        <v>500000</v>
      </c>
      <c r="U88" s="76">
        <v>500000</v>
      </c>
      <c r="V88" s="77">
        <v>0</v>
      </c>
      <c r="W88" s="78">
        <f t="shared" si="57"/>
        <v>500000</v>
      </c>
      <c r="X88" s="76">
        <v>0</v>
      </c>
      <c r="Y88" s="77">
        <v>0</v>
      </c>
      <c r="Z88" s="78">
        <f t="shared" si="58"/>
        <v>0</v>
      </c>
    </row>
    <row r="89" spans="1:26" ht="11.25">
      <c r="A89" s="74">
        <f t="shared" si="59"/>
        <v>4</v>
      </c>
      <c r="B89" s="74" t="str">
        <f t="shared" si="59"/>
        <v>Digital Model of Isthmus</v>
      </c>
      <c r="C89" s="2"/>
      <c r="D89" s="2"/>
      <c r="E89" s="2"/>
      <c r="F89" s="1">
        <f t="shared" si="60"/>
        <v>30000</v>
      </c>
      <c r="G89" s="2">
        <f t="shared" si="60"/>
        <v>0</v>
      </c>
      <c r="H89" s="3">
        <f t="shared" si="50"/>
        <v>30000</v>
      </c>
      <c r="I89" s="2">
        <f t="shared" si="61"/>
        <v>0</v>
      </c>
      <c r="J89" s="2">
        <f t="shared" si="61"/>
        <v>0</v>
      </c>
      <c r="K89" s="4">
        <f t="shared" si="51"/>
        <v>0</v>
      </c>
      <c r="L89" s="2">
        <f t="shared" si="62"/>
        <v>0</v>
      </c>
      <c r="M89" s="2">
        <f t="shared" si="62"/>
        <v>0</v>
      </c>
      <c r="N89" s="2">
        <f t="shared" si="52"/>
        <v>0</v>
      </c>
      <c r="O89" s="5">
        <f t="shared" si="53"/>
        <v>0</v>
      </c>
      <c r="P89" s="2">
        <f t="shared" si="54"/>
        <v>0</v>
      </c>
      <c r="Q89" s="4">
        <f t="shared" si="55"/>
        <v>0</v>
      </c>
      <c r="R89" s="2">
        <f t="shared" si="63"/>
        <v>0</v>
      </c>
      <c r="S89" s="2">
        <f t="shared" si="63"/>
        <v>0</v>
      </c>
      <c r="T89" s="3">
        <f t="shared" si="56"/>
        <v>0</v>
      </c>
      <c r="U89" s="1">
        <v>0</v>
      </c>
      <c r="V89" s="2">
        <v>0</v>
      </c>
      <c r="W89" s="3">
        <f t="shared" si="57"/>
        <v>0</v>
      </c>
      <c r="X89" s="1">
        <v>0</v>
      </c>
      <c r="Y89" s="2">
        <v>0</v>
      </c>
      <c r="Z89" s="3">
        <f t="shared" si="58"/>
        <v>0</v>
      </c>
    </row>
    <row r="90" spans="1:26" ht="11.25">
      <c r="A90" s="74">
        <f t="shared" si="59"/>
        <v>5</v>
      </c>
      <c r="B90" s="74" t="str">
        <f t="shared" si="59"/>
        <v>Broom Street Gateway</v>
      </c>
      <c r="C90" s="2"/>
      <c r="D90" s="2"/>
      <c r="E90" s="2"/>
      <c r="F90" s="1">
        <f t="shared" si="60"/>
        <v>0</v>
      </c>
      <c r="G90" s="2">
        <f t="shared" si="60"/>
        <v>0</v>
      </c>
      <c r="H90" s="3">
        <f t="shared" si="50"/>
        <v>0</v>
      </c>
      <c r="I90" s="2">
        <f t="shared" si="61"/>
        <v>50000</v>
      </c>
      <c r="J90" s="2">
        <f t="shared" si="61"/>
        <v>0</v>
      </c>
      <c r="K90" s="4">
        <f t="shared" si="51"/>
        <v>50000</v>
      </c>
      <c r="L90" s="2">
        <f t="shared" si="62"/>
        <v>0</v>
      </c>
      <c r="M90" s="2">
        <f t="shared" si="62"/>
        <v>0</v>
      </c>
      <c r="N90" s="2">
        <f t="shared" si="52"/>
        <v>0</v>
      </c>
      <c r="O90" s="5">
        <f t="shared" si="53"/>
        <v>0</v>
      </c>
      <c r="P90" s="2">
        <f t="shared" si="54"/>
        <v>0</v>
      </c>
      <c r="Q90" s="4">
        <f t="shared" si="55"/>
        <v>0</v>
      </c>
      <c r="R90" s="2">
        <f t="shared" si="63"/>
        <v>0</v>
      </c>
      <c r="S90" s="2">
        <f t="shared" si="63"/>
        <v>0</v>
      </c>
      <c r="T90" s="3">
        <f t="shared" si="56"/>
        <v>0</v>
      </c>
      <c r="U90" s="1">
        <v>0</v>
      </c>
      <c r="V90" s="2">
        <v>0</v>
      </c>
      <c r="W90" s="3">
        <f t="shared" si="57"/>
        <v>0</v>
      </c>
      <c r="X90" s="1">
        <v>0</v>
      </c>
      <c r="Y90" s="2">
        <v>0</v>
      </c>
      <c r="Z90" s="3">
        <f t="shared" si="58"/>
        <v>0</v>
      </c>
    </row>
    <row r="91" spans="1:26" ht="11.25">
      <c r="A91" s="75">
        <f t="shared" si="59"/>
        <v>6</v>
      </c>
      <c r="B91" s="75" t="str">
        <f t="shared" si="59"/>
        <v>Downtown Historic Preservation Plan</v>
      </c>
      <c r="C91" s="76"/>
      <c r="D91" s="77"/>
      <c r="E91" s="77"/>
      <c r="F91" s="76">
        <f t="shared" si="60"/>
        <v>0</v>
      </c>
      <c r="G91" s="77">
        <f t="shared" si="60"/>
        <v>0</v>
      </c>
      <c r="H91" s="78">
        <f t="shared" si="50"/>
        <v>0</v>
      </c>
      <c r="I91" s="77">
        <f t="shared" si="61"/>
        <v>50000</v>
      </c>
      <c r="J91" s="77">
        <f t="shared" si="61"/>
        <v>0</v>
      </c>
      <c r="K91" s="79">
        <f t="shared" si="51"/>
        <v>50000</v>
      </c>
      <c r="L91" s="77">
        <f t="shared" si="62"/>
        <v>0</v>
      </c>
      <c r="M91" s="77">
        <f t="shared" si="62"/>
        <v>0</v>
      </c>
      <c r="N91" s="79">
        <f t="shared" si="52"/>
        <v>0</v>
      </c>
      <c r="O91" s="77">
        <f t="shared" si="53"/>
        <v>0</v>
      </c>
      <c r="P91" s="77">
        <f t="shared" si="54"/>
        <v>0</v>
      </c>
      <c r="Q91" s="79">
        <f t="shared" si="55"/>
        <v>0</v>
      </c>
      <c r="R91" s="80">
        <f t="shared" si="63"/>
        <v>0</v>
      </c>
      <c r="S91" s="77">
        <f t="shared" si="63"/>
        <v>0</v>
      </c>
      <c r="T91" s="78">
        <f t="shared" si="56"/>
        <v>0</v>
      </c>
      <c r="U91" s="76">
        <v>0</v>
      </c>
      <c r="V91" s="77">
        <v>0</v>
      </c>
      <c r="W91" s="78">
        <f t="shared" si="57"/>
        <v>0</v>
      </c>
      <c r="X91" s="76">
        <v>0</v>
      </c>
      <c r="Y91" s="77">
        <v>0</v>
      </c>
      <c r="Z91" s="78">
        <f t="shared" si="58"/>
        <v>0</v>
      </c>
    </row>
    <row r="92" spans="1:26" ht="11.25">
      <c r="A92" s="74">
        <f t="shared" si="59"/>
        <v>7</v>
      </c>
      <c r="B92" s="74" t="str">
        <f t="shared" si="59"/>
        <v>Transp. Master Plan for a Livable City</v>
      </c>
      <c r="C92" s="2"/>
      <c r="D92" s="2"/>
      <c r="E92" s="2"/>
      <c r="F92" s="1">
        <f t="shared" si="60"/>
        <v>100000</v>
      </c>
      <c r="G92" s="2">
        <v>400000</v>
      </c>
      <c r="H92" s="3">
        <f t="shared" si="50"/>
        <v>500000</v>
      </c>
      <c r="I92" s="2">
        <f t="shared" si="61"/>
        <v>0</v>
      </c>
      <c r="J92" s="2">
        <f t="shared" si="61"/>
        <v>0</v>
      </c>
      <c r="K92" s="4">
        <f t="shared" si="51"/>
        <v>0</v>
      </c>
      <c r="L92" s="2">
        <f t="shared" si="62"/>
        <v>0</v>
      </c>
      <c r="M92" s="2">
        <f t="shared" si="62"/>
        <v>0</v>
      </c>
      <c r="N92" s="2">
        <f t="shared" si="52"/>
        <v>0</v>
      </c>
      <c r="O92" s="5">
        <f t="shared" si="53"/>
        <v>0</v>
      </c>
      <c r="P92" s="2">
        <f t="shared" si="54"/>
        <v>0</v>
      </c>
      <c r="Q92" s="4">
        <f t="shared" si="55"/>
        <v>0</v>
      </c>
      <c r="R92" s="2">
        <f t="shared" si="63"/>
        <v>0</v>
      </c>
      <c r="S92" s="2">
        <f t="shared" si="63"/>
        <v>0</v>
      </c>
      <c r="T92" s="3">
        <f t="shared" si="56"/>
        <v>0</v>
      </c>
      <c r="U92" s="1">
        <v>0</v>
      </c>
      <c r="V92" s="2">
        <v>0</v>
      </c>
      <c r="W92" s="3">
        <f t="shared" si="57"/>
        <v>0</v>
      </c>
      <c r="X92" s="1">
        <v>0</v>
      </c>
      <c r="Y92" s="2">
        <v>0</v>
      </c>
      <c r="Z92" s="3">
        <f t="shared" si="58"/>
        <v>0</v>
      </c>
    </row>
    <row r="93" spans="1:26" ht="11.25">
      <c r="A93" s="74">
        <f t="shared" si="59"/>
        <v>8</v>
      </c>
      <c r="B93" s="74" t="str">
        <f t="shared" si="59"/>
        <v>Neighborhood Centers</v>
      </c>
      <c r="C93" s="2"/>
      <c r="D93" s="2"/>
      <c r="E93" s="2"/>
      <c r="F93" s="1">
        <f t="shared" si="60"/>
        <v>400000</v>
      </c>
      <c r="G93" s="2">
        <f t="shared" si="60"/>
        <v>500000</v>
      </c>
      <c r="H93" s="3">
        <f t="shared" si="50"/>
        <v>900000</v>
      </c>
      <c r="I93" s="2">
        <f t="shared" si="61"/>
        <v>1000000</v>
      </c>
      <c r="J93" s="2">
        <f t="shared" si="61"/>
        <v>0</v>
      </c>
      <c r="K93" s="4">
        <f t="shared" si="51"/>
        <v>1000000</v>
      </c>
      <c r="L93" s="2">
        <f t="shared" si="62"/>
        <v>1000000</v>
      </c>
      <c r="M93" s="2">
        <f t="shared" si="62"/>
        <v>0</v>
      </c>
      <c r="N93" s="2">
        <f t="shared" si="52"/>
        <v>1000000</v>
      </c>
      <c r="O93" s="5">
        <v>1000000</v>
      </c>
      <c r="P93" s="2">
        <f t="shared" si="54"/>
        <v>0</v>
      </c>
      <c r="Q93" s="4">
        <f t="shared" si="55"/>
        <v>1000000</v>
      </c>
      <c r="R93" s="2">
        <f t="shared" si="63"/>
        <v>1000000</v>
      </c>
      <c r="S93" s="2">
        <f t="shared" si="63"/>
        <v>0</v>
      </c>
      <c r="T93" s="3">
        <f t="shared" si="56"/>
        <v>1000000</v>
      </c>
      <c r="U93" s="1">
        <v>5000000</v>
      </c>
      <c r="V93" s="2">
        <v>0</v>
      </c>
      <c r="W93" s="3">
        <f t="shared" si="57"/>
        <v>5000000</v>
      </c>
      <c r="X93" s="1">
        <v>0</v>
      </c>
      <c r="Y93" s="2">
        <v>0</v>
      </c>
      <c r="Z93" s="3">
        <f t="shared" si="58"/>
        <v>0</v>
      </c>
    </row>
    <row r="94" spans="1:26" ht="11.25">
      <c r="A94" s="75">
        <f t="shared" si="59"/>
        <v>9</v>
      </c>
      <c r="B94" s="75" t="str">
        <f t="shared" si="59"/>
        <v>CDA Red. - Truax Area Master Plan</v>
      </c>
      <c r="C94" s="76"/>
      <c r="D94" s="77"/>
      <c r="E94" s="77"/>
      <c r="F94" s="76">
        <f t="shared" si="60"/>
        <v>665000</v>
      </c>
      <c r="G94" s="77">
        <f t="shared" si="60"/>
        <v>0</v>
      </c>
      <c r="H94" s="78">
        <f t="shared" si="50"/>
        <v>665000</v>
      </c>
      <c r="I94" s="77">
        <f t="shared" si="61"/>
        <v>0</v>
      </c>
      <c r="J94" s="77">
        <f t="shared" si="61"/>
        <v>0</v>
      </c>
      <c r="K94" s="79">
        <f t="shared" si="51"/>
        <v>0</v>
      </c>
      <c r="L94" s="77">
        <f t="shared" si="62"/>
        <v>0</v>
      </c>
      <c r="M94" s="77">
        <f t="shared" si="62"/>
        <v>0</v>
      </c>
      <c r="N94" s="79">
        <f t="shared" si="52"/>
        <v>0</v>
      </c>
      <c r="O94" s="77">
        <f t="shared" si="53"/>
        <v>0</v>
      </c>
      <c r="P94" s="77">
        <f t="shared" si="54"/>
        <v>0</v>
      </c>
      <c r="Q94" s="79">
        <f t="shared" si="55"/>
        <v>0</v>
      </c>
      <c r="R94" s="80">
        <f t="shared" si="63"/>
        <v>0</v>
      </c>
      <c r="S94" s="77">
        <f t="shared" si="63"/>
        <v>0</v>
      </c>
      <c r="T94" s="78">
        <f t="shared" si="56"/>
        <v>0</v>
      </c>
      <c r="U94" s="76">
        <v>0</v>
      </c>
      <c r="V94" s="77">
        <v>0</v>
      </c>
      <c r="W94" s="78">
        <f t="shared" si="57"/>
        <v>0</v>
      </c>
      <c r="X94" s="76">
        <v>0</v>
      </c>
      <c r="Y94" s="77">
        <v>0</v>
      </c>
      <c r="Z94" s="78">
        <f t="shared" si="58"/>
        <v>0</v>
      </c>
    </row>
    <row r="95" spans="1:26" ht="11.25">
      <c r="A95" s="74">
        <f t="shared" si="59"/>
        <v>10</v>
      </c>
      <c r="B95" s="74" t="str">
        <f t="shared" si="59"/>
        <v>CDA Redevelopment - Villager</v>
      </c>
      <c r="C95" s="2"/>
      <c r="D95" s="2"/>
      <c r="E95" s="2"/>
      <c r="F95" s="1">
        <f t="shared" si="60"/>
        <v>0</v>
      </c>
      <c r="G95" s="2">
        <f t="shared" si="60"/>
        <v>300000</v>
      </c>
      <c r="H95" s="3">
        <f t="shared" si="50"/>
        <v>300000</v>
      </c>
      <c r="I95" s="2">
        <f t="shared" si="61"/>
        <v>0</v>
      </c>
      <c r="J95" s="2">
        <f t="shared" si="61"/>
        <v>0</v>
      </c>
      <c r="K95" s="4">
        <f t="shared" si="51"/>
        <v>0</v>
      </c>
      <c r="L95" s="2">
        <f t="shared" si="62"/>
        <v>0</v>
      </c>
      <c r="M95" s="2">
        <f t="shared" si="62"/>
        <v>0</v>
      </c>
      <c r="N95" s="2">
        <f t="shared" si="52"/>
        <v>0</v>
      </c>
      <c r="O95" s="5">
        <f t="shared" si="53"/>
        <v>0</v>
      </c>
      <c r="P95" s="2">
        <f t="shared" si="54"/>
        <v>0</v>
      </c>
      <c r="Q95" s="4">
        <f t="shared" si="55"/>
        <v>0</v>
      </c>
      <c r="R95" s="2">
        <f t="shared" si="63"/>
        <v>0</v>
      </c>
      <c r="S95" s="2">
        <f t="shared" si="63"/>
        <v>0</v>
      </c>
      <c r="T95" s="3">
        <f t="shared" si="56"/>
        <v>0</v>
      </c>
      <c r="U95" s="1">
        <v>0</v>
      </c>
      <c r="V95" s="2">
        <v>0</v>
      </c>
      <c r="W95" s="3">
        <f t="shared" si="57"/>
        <v>0</v>
      </c>
      <c r="X95" s="1">
        <v>0</v>
      </c>
      <c r="Y95" s="2">
        <v>0</v>
      </c>
      <c r="Z95" s="3">
        <f t="shared" si="58"/>
        <v>0</v>
      </c>
    </row>
    <row r="96" spans="1:26" ht="11.25">
      <c r="A96" s="74">
        <f t="shared" si="59"/>
        <v>11</v>
      </c>
      <c r="B96" s="74" t="str">
        <f t="shared" si="59"/>
        <v>Public Housing Redevelopment</v>
      </c>
      <c r="C96" s="2"/>
      <c r="D96" s="2"/>
      <c r="E96" s="2"/>
      <c r="F96" s="1">
        <f t="shared" si="60"/>
        <v>240000</v>
      </c>
      <c r="G96" s="2">
        <f t="shared" si="60"/>
        <v>0</v>
      </c>
      <c r="H96" s="3">
        <f t="shared" si="50"/>
        <v>240000</v>
      </c>
      <c r="I96" s="2">
        <f t="shared" si="61"/>
        <v>240000</v>
      </c>
      <c r="J96" s="2">
        <f t="shared" si="61"/>
        <v>0</v>
      </c>
      <c r="K96" s="4">
        <f t="shared" si="51"/>
        <v>240000</v>
      </c>
      <c r="L96" s="2">
        <f t="shared" si="62"/>
        <v>240000</v>
      </c>
      <c r="M96" s="2">
        <f t="shared" si="62"/>
        <v>0</v>
      </c>
      <c r="N96" s="2">
        <f t="shared" si="52"/>
        <v>240000</v>
      </c>
      <c r="O96" s="5">
        <f t="shared" si="53"/>
        <v>240000</v>
      </c>
      <c r="P96" s="2">
        <f t="shared" si="54"/>
        <v>0</v>
      </c>
      <c r="Q96" s="4">
        <f t="shared" si="55"/>
        <v>240000</v>
      </c>
      <c r="R96" s="2">
        <f t="shared" si="63"/>
        <v>240000</v>
      </c>
      <c r="S96" s="2">
        <f t="shared" si="63"/>
        <v>0</v>
      </c>
      <c r="T96" s="3">
        <f t="shared" si="56"/>
        <v>240000</v>
      </c>
      <c r="U96" s="1">
        <v>240000</v>
      </c>
      <c r="V96" s="2">
        <v>0</v>
      </c>
      <c r="W96" s="3">
        <f t="shared" si="57"/>
        <v>240000</v>
      </c>
      <c r="X96" s="1">
        <v>0</v>
      </c>
      <c r="Y96" s="2">
        <v>0</v>
      </c>
      <c r="Z96" s="3">
        <f t="shared" si="58"/>
        <v>0</v>
      </c>
    </row>
    <row r="97" spans="1:26" ht="11.25">
      <c r="A97" s="75">
        <f aca="true" t="shared" si="64" ref="A97:B103">A56</f>
        <v>12</v>
      </c>
      <c r="B97" s="75" t="str">
        <f t="shared" si="64"/>
        <v>Judge Doyle Square (Block 105)</v>
      </c>
      <c r="C97" s="76"/>
      <c r="D97" s="77"/>
      <c r="E97" s="77"/>
      <c r="F97" s="76">
        <f aca="true" t="shared" si="65" ref="F97:G103">F56</f>
        <v>0</v>
      </c>
      <c r="G97" s="77">
        <f t="shared" si="65"/>
        <v>990000</v>
      </c>
      <c r="H97" s="78">
        <f aca="true" t="shared" si="66" ref="H97:H114">SUM(F97:G97)</f>
        <v>990000</v>
      </c>
      <c r="I97" s="77">
        <f aca="true" t="shared" si="67" ref="I97:J103">I56</f>
        <v>0</v>
      </c>
      <c r="J97" s="77">
        <f t="shared" si="67"/>
        <v>0</v>
      </c>
      <c r="K97" s="79">
        <f aca="true" t="shared" si="68" ref="K97:K114">SUM(I97:J97)</f>
        <v>0</v>
      </c>
      <c r="L97" s="77">
        <f aca="true" t="shared" si="69" ref="L97:M103">L56</f>
        <v>0</v>
      </c>
      <c r="M97" s="77">
        <f t="shared" si="69"/>
        <v>0</v>
      </c>
      <c r="N97" s="79">
        <f aca="true" t="shared" si="70" ref="N97:N114">SUM(L97:M97)</f>
        <v>0</v>
      </c>
      <c r="O97" s="77">
        <f t="shared" si="53"/>
        <v>0</v>
      </c>
      <c r="P97" s="77">
        <f t="shared" si="54"/>
        <v>0</v>
      </c>
      <c r="Q97" s="79">
        <f aca="true" t="shared" si="71" ref="Q97:Q114">SUM(O97:P97)</f>
        <v>0</v>
      </c>
      <c r="R97" s="80">
        <f aca="true" t="shared" si="72" ref="R97:S103">R56</f>
        <v>0</v>
      </c>
      <c r="S97" s="77">
        <f t="shared" si="72"/>
        <v>0</v>
      </c>
      <c r="T97" s="78">
        <f aca="true" t="shared" si="73" ref="T97:T114">SUM(R97:S97)</f>
        <v>0</v>
      </c>
      <c r="U97" s="76">
        <v>0</v>
      </c>
      <c r="V97" s="77">
        <v>0</v>
      </c>
      <c r="W97" s="78">
        <f aca="true" t="shared" si="74" ref="W97:W114">U97+V97</f>
        <v>0</v>
      </c>
      <c r="X97" s="76">
        <v>0</v>
      </c>
      <c r="Y97" s="77">
        <v>0</v>
      </c>
      <c r="Z97" s="78">
        <f aca="true" t="shared" si="75" ref="Z97:Z114">X97+Y97</f>
        <v>0</v>
      </c>
    </row>
    <row r="98" spans="1:26" ht="11.25">
      <c r="A98" s="74">
        <f t="shared" si="64"/>
        <v>13</v>
      </c>
      <c r="B98" s="74">
        <f t="shared" si="64"/>
        <v>0</v>
      </c>
      <c r="C98" s="2"/>
      <c r="D98" s="2"/>
      <c r="E98" s="2"/>
      <c r="F98" s="1">
        <f t="shared" si="65"/>
        <v>0</v>
      </c>
      <c r="G98" s="2">
        <f t="shared" si="65"/>
        <v>0</v>
      </c>
      <c r="H98" s="3">
        <f t="shared" si="66"/>
        <v>0</v>
      </c>
      <c r="I98" s="2">
        <f t="shared" si="67"/>
        <v>0</v>
      </c>
      <c r="J98" s="2">
        <f t="shared" si="67"/>
        <v>0</v>
      </c>
      <c r="K98" s="4">
        <f t="shared" si="68"/>
        <v>0</v>
      </c>
      <c r="L98" s="2">
        <f t="shared" si="69"/>
        <v>0</v>
      </c>
      <c r="M98" s="2">
        <f t="shared" si="69"/>
        <v>0</v>
      </c>
      <c r="N98" s="2">
        <f t="shared" si="70"/>
        <v>0</v>
      </c>
      <c r="O98" s="5">
        <f t="shared" si="53"/>
        <v>0</v>
      </c>
      <c r="P98" s="2">
        <f t="shared" si="54"/>
        <v>0</v>
      </c>
      <c r="Q98" s="4">
        <f t="shared" si="71"/>
        <v>0</v>
      </c>
      <c r="R98" s="2">
        <f t="shared" si="72"/>
        <v>0</v>
      </c>
      <c r="S98" s="2">
        <f t="shared" si="72"/>
        <v>0</v>
      </c>
      <c r="T98" s="3">
        <f t="shared" si="73"/>
        <v>0</v>
      </c>
      <c r="U98" s="1">
        <v>0</v>
      </c>
      <c r="V98" s="2">
        <v>0</v>
      </c>
      <c r="W98" s="3">
        <f t="shared" si="74"/>
        <v>0</v>
      </c>
      <c r="X98" s="1">
        <v>0</v>
      </c>
      <c r="Y98" s="2">
        <v>0</v>
      </c>
      <c r="Z98" s="3">
        <f t="shared" si="75"/>
        <v>0</v>
      </c>
    </row>
    <row r="99" spans="1:26" ht="11.25">
      <c r="A99" s="74">
        <f t="shared" si="64"/>
        <v>14</v>
      </c>
      <c r="B99" s="74" t="str">
        <f t="shared" si="64"/>
        <v>TID 27- Additional Redevelopment on Lake Point</v>
      </c>
      <c r="C99" s="2"/>
      <c r="D99" s="2"/>
      <c r="E99" s="2"/>
      <c r="F99" s="1">
        <f t="shared" si="65"/>
        <v>0</v>
      </c>
      <c r="G99" s="2">
        <f t="shared" si="65"/>
        <v>500000</v>
      </c>
      <c r="H99" s="3">
        <f t="shared" si="66"/>
        <v>500000</v>
      </c>
      <c r="I99" s="2">
        <f t="shared" si="67"/>
        <v>0</v>
      </c>
      <c r="J99" s="2">
        <f t="shared" si="67"/>
        <v>500000</v>
      </c>
      <c r="K99" s="4">
        <f t="shared" si="68"/>
        <v>500000</v>
      </c>
      <c r="L99" s="2">
        <f t="shared" si="69"/>
        <v>0</v>
      </c>
      <c r="M99" s="2">
        <f t="shared" si="69"/>
        <v>500000</v>
      </c>
      <c r="N99" s="2">
        <f t="shared" si="70"/>
        <v>500000</v>
      </c>
      <c r="O99" s="5">
        <f t="shared" si="53"/>
        <v>0</v>
      </c>
      <c r="P99" s="2">
        <f t="shared" si="54"/>
        <v>0</v>
      </c>
      <c r="Q99" s="4">
        <f t="shared" si="71"/>
        <v>0</v>
      </c>
      <c r="R99" s="2">
        <f t="shared" si="72"/>
        <v>0</v>
      </c>
      <c r="S99" s="2">
        <f t="shared" si="72"/>
        <v>0</v>
      </c>
      <c r="T99" s="3">
        <f t="shared" si="73"/>
        <v>0</v>
      </c>
      <c r="U99" s="1">
        <v>0</v>
      </c>
      <c r="V99" s="2">
        <v>0</v>
      </c>
      <c r="W99" s="3">
        <f t="shared" si="74"/>
        <v>0</v>
      </c>
      <c r="X99" s="1">
        <v>0</v>
      </c>
      <c r="Y99" s="2">
        <v>0</v>
      </c>
      <c r="Z99" s="3">
        <f t="shared" si="75"/>
        <v>0</v>
      </c>
    </row>
    <row r="100" spans="1:26" ht="11.25">
      <c r="A100" s="75">
        <f t="shared" si="64"/>
        <v>15</v>
      </c>
      <c r="B100" s="75" t="str">
        <f t="shared" si="64"/>
        <v>TID 36 - Capitol Gateway Corridor</v>
      </c>
      <c r="C100" s="76"/>
      <c r="D100" s="77"/>
      <c r="E100" s="77"/>
      <c r="F100" s="76">
        <f t="shared" si="65"/>
        <v>200000</v>
      </c>
      <c r="G100" s="77">
        <f t="shared" si="65"/>
        <v>0</v>
      </c>
      <c r="H100" s="78">
        <f t="shared" si="66"/>
        <v>200000</v>
      </c>
      <c r="I100" s="77">
        <f t="shared" si="67"/>
        <v>400000</v>
      </c>
      <c r="J100" s="77">
        <f t="shared" si="67"/>
        <v>0</v>
      </c>
      <c r="K100" s="79">
        <f t="shared" si="68"/>
        <v>400000</v>
      </c>
      <c r="L100" s="77">
        <f t="shared" si="69"/>
        <v>150000</v>
      </c>
      <c r="M100" s="77">
        <f t="shared" si="69"/>
        <v>0</v>
      </c>
      <c r="N100" s="79">
        <f t="shared" si="70"/>
        <v>150000</v>
      </c>
      <c r="O100" s="77">
        <f t="shared" si="53"/>
        <v>150000</v>
      </c>
      <c r="P100" s="77">
        <f t="shared" si="54"/>
        <v>0</v>
      </c>
      <c r="Q100" s="79">
        <f t="shared" si="71"/>
        <v>150000</v>
      </c>
      <c r="R100" s="80">
        <f t="shared" si="72"/>
        <v>150000</v>
      </c>
      <c r="S100" s="77">
        <f t="shared" si="72"/>
        <v>0</v>
      </c>
      <c r="T100" s="78">
        <f t="shared" si="73"/>
        <v>150000</v>
      </c>
      <c r="U100" s="76">
        <v>150000</v>
      </c>
      <c r="V100" s="77">
        <v>0</v>
      </c>
      <c r="W100" s="78">
        <f t="shared" si="74"/>
        <v>150000</v>
      </c>
      <c r="X100" s="76">
        <v>0</v>
      </c>
      <c r="Y100" s="77">
        <v>0</v>
      </c>
      <c r="Z100" s="78">
        <f t="shared" si="75"/>
        <v>0</v>
      </c>
    </row>
    <row r="101" spans="1:26" ht="11.25">
      <c r="A101" s="74">
        <f t="shared" si="64"/>
        <v>16</v>
      </c>
      <c r="B101" s="74" t="str">
        <f t="shared" si="64"/>
        <v>TID 37 - Union Corners</v>
      </c>
      <c r="C101" s="2"/>
      <c r="D101" s="2"/>
      <c r="E101" s="2"/>
      <c r="F101" s="1">
        <f t="shared" si="65"/>
        <v>30000</v>
      </c>
      <c r="G101" s="2">
        <f t="shared" si="65"/>
        <v>0</v>
      </c>
      <c r="H101" s="3">
        <f t="shared" si="66"/>
        <v>30000</v>
      </c>
      <c r="I101" s="2">
        <f t="shared" si="67"/>
        <v>30000</v>
      </c>
      <c r="J101" s="2">
        <f t="shared" si="67"/>
        <v>0</v>
      </c>
      <c r="K101" s="4">
        <f t="shared" si="68"/>
        <v>30000</v>
      </c>
      <c r="L101" s="2">
        <f t="shared" si="69"/>
        <v>30000</v>
      </c>
      <c r="M101" s="2">
        <f t="shared" si="69"/>
        <v>0</v>
      </c>
      <c r="N101" s="2">
        <f t="shared" si="70"/>
        <v>30000</v>
      </c>
      <c r="O101" s="5">
        <f t="shared" si="53"/>
        <v>30000</v>
      </c>
      <c r="P101" s="2">
        <f t="shared" si="54"/>
        <v>0</v>
      </c>
      <c r="Q101" s="4">
        <f t="shared" si="71"/>
        <v>30000</v>
      </c>
      <c r="R101" s="2">
        <f t="shared" si="72"/>
        <v>30000</v>
      </c>
      <c r="S101" s="2">
        <f t="shared" si="72"/>
        <v>0</v>
      </c>
      <c r="T101" s="3">
        <f t="shared" si="73"/>
        <v>30000</v>
      </c>
      <c r="U101" s="1">
        <v>30000</v>
      </c>
      <c r="V101" s="2">
        <v>0</v>
      </c>
      <c r="W101" s="3">
        <f t="shared" si="74"/>
        <v>30000</v>
      </c>
      <c r="X101" s="1">
        <v>0</v>
      </c>
      <c r="Y101" s="2">
        <v>0</v>
      </c>
      <c r="Z101" s="3">
        <f t="shared" si="75"/>
        <v>0</v>
      </c>
    </row>
    <row r="102" spans="1:26" ht="11.25">
      <c r="A102" s="74">
        <f t="shared" si="64"/>
        <v>17</v>
      </c>
      <c r="B102" s="74">
        <f t="shared" si="64"/>
        <v>0</v>
      </c>
      <c r="C102" s="2"/>
      <c r="D102" s="2"/>
      <c r="E102" s="2"/>
      <c r="F102" s="1">
        <v>0</v>
      </c>
      <c r="G102" s="2">
        <f t="shared" si="65"/>
        <v>0</v>
      </c>
      <c r="H102" s="3">
        <f t="shared" si="66"/>
        <v>0</v>
      </c>
      <c r="I102" s="2">
        <f t="shared" si="67"/>
        <v>0</v>
      </c>
      <c r="J102" s="2">
        <f t="shared" si="67"/>
        <v>0</v>
      </c>
      <c r="K102" s="4">
        <f t="shared" si="68"/>
        <v>0</v>
      </c>
      <c r="L102" s="2">
        <f t="shared" si="69"/>
        <v>0</v>
      </c>
      <c r="M102" s="2">
        <f t="shared" si="69"/>
        <v>0</v>
      </c>
      <c r="N102" s="2">
        <f t="shared" si="70"/>
        <v>0</v>
      </c>
      <c r="O102" s="5">
        <f t="shared" si="53"/>
        <v>0</v>
      </c>
      <c r="P102" s="2">
        <f t="shared" si="54"/>
        <v>0</v>
      </c>
      <c r="Q102" s="4">
        <f t="shared" si="71"/>
        <v>0</v>
      </c>
      <c r="R102" s="2">
        <f t="shared" si="72"/>
        <v>0</v>
      </c>
      <c r="S102" s="2">
        <f t="shared" si="72"/>
        <v>0</v>
      </c>
      <c r="T102" s="3">
        <f t="shared" si="73"/>
        <v>0</v>
      </c>
      <c r="U102" s="1">
        <v>0</v>
      </c>
      <c r="V102" s="2">
        <v>0</v>
      </c>
      <c r="W102" s="3">
        <f t="shared" si="74"/>
        <v>0</v>
      </c>
      <c r="X102" s="1">
        <v>0</v>
      </c>
      <c r="Y102" s="2">
        <v>0</v>
      </c>
      <c r="Z102" s="3">
        <f t="shared" si="75"/>
        <v>0</v>
      </c>
    </row>
    <row r="103" spans="1:26" ht="11.25">
      <c r="A103" s="75">
        <f t="shared" si="64"/>
        <v>18</v>
      </c>
      <c r="B103" s="75" t="str">
        <f t="shared" si="64"/>
        <v>TID 39 - Stoughton Rd.</v>
      </c>
      <c r="C103" s="76"/>
      <c r="D103" s="77"/>
      <c r="E103" s="77"/>
      <c r="F103" s="76">
        <f t="shared" si="65"/>
        <v>430000</v>
      </c>
      <c r="G103" s="77">
        <f t="shared" si="65"/>
        <v>0</v>
      </c>
      <c r="H103" s="78">
        <f t="shared" si="66"/>
        <v>430000</v>
      </c>
      <c r="I103" s="77">
        <f t="shared" si="67"/>
        <v>30000</v>
      </c>
      <c r="J103" s="77">
        <f t="shared" si="67"/>
        <v>0</v>
      </c>
      <c r="K103" s="79">
        <f t="shared" si="68"/>
        <v>30000</v>
      </c>
      <c r="L103" s="77">
        <f t="shared" si="69"/>
        <v>30000</v>
      </c>
      <c r="M103" s="77">
        <f t="shared" si="69"/>
        <v>0</v>
      </c>
      <c r="N103" s="79">
        <f t="shared" si="70"/>
        <v>30000</v>
      </c>
      <c r="O103" s="77">
        <f t="shared" si="53"/>
        <v>30000</v>
      </c>
      <c r="P103" s="77">
        <f t="shared" si="54"/>
        <v>0</v>
      </c>
      <c r="Q103" s="79">
        <f t="shared" si="71"/>
        <v>30000</v>
      </c>
      <c r="R103" s="80">
        <f t="shared" si="72"/>
        <v>30000</v>
      </c>
      <c r="S103" s="77">
        <f t="shared" si="72"/>
        <v>0</v>
      </c>
      <c r="T103" s="78">
        <f t="shared" si="73"/>
        <v>30000</v>
      </c>
      <c r="U103" s="76">
        <v>30000</v>
      </c>
      <c r="V103" s="77">
        <v>0</v>
      </c>
      <c r="W103" s="78">
        <f t="shared" si="74"/>
        <v>30000</v>
      </c>
      <c r="X103" s="76">
        <v>0</v>
      </c>
      <c r="Y103" s="77">
        <v>0</v>
      </c>
      <c r="Z103" s="78">
        <f t="shared" si="75"/>
        <v>0</v>
      </c>
    </row>
    <row r="104" spans="1:26" ht="11.25">
      <c r="A104" s="74">
        <f aca="true" t="shared" si="76" ref="A104:B115">A63</f>
        <v>19</v>
      </c>
      <c r="B104" s="74" t="str">
        <f t="shared" si="76"/>
        <v>TID 40 - Northside</v>
      </c>
      <c r="C104" s="2"/>
      <c r="D104" s="2"/>
      <c r="E104" s="2"/>
      <c r="F104" s="1">
        <f aca="true" t="shared" si="77" ref="F104:G115">F63</f>
        <v>0</v>
      </c>
      <c r="G104" s="2">
        <f t="shared" si="77"/>
        <v>0</v>
      </c>
      <c r="H104" s="3">
        <f t="shared" si="66"/>
        <v>0</v>
      </c>
      <c r="I104" s="2">
        <f aca="true" t="shared" si="78" ref="I104:J115">I63</f>
        <v>0</v>
      </c>
      <c r="J104" s="2">
        <f t="shared" si="78"/>
        <v>0</v>
      </c>
      <c r="K104" s="4">
        <f t="shared" si="68"/>
        <v>0</v>
      </c>
      <c r="L104" s="2">
        <f aca="true" t="shared" si="79" ref="L104:M115">L63</f>
        <v>0</v>
      </c>
      <c r="M104" s="2">
        <f t="shared" si="79"/>
        <v>0</v>
      </c>
      <c r="N104" s="2">
        <f t="shared" si="70"/>
        <v>0</v>
      </c>
      <c r="O104" s="5">
        <f aca="true" t="shared" si="80" ref="O104:O115">O63</f>
        <v>0</v>
      </c>
      <c r="P104" s="2">
        <f aca="true" t="shared" si="81" ref="P104:P115">+P63</f>
        <v>0</v>
      </c>
      <c r="Q104" s="4">
        <f t="shared" si="71"/>
        <v>0</v>
      </c>
      <c r="R104" s="2">
        <f aca="true" t="shared" si="82" ref="R104:S115">R63</f>
        <v>0</v>
      </c>
      <c r="S104" s="2">
        <f t="shared" si="82"/>
        <v>0</v>
      </c>
      <c r="T104" s="3">
        <f t="shared" si="73"/>
        <v>0</v>
      </c>
      <c r="U104" s="1">
        <v>0</v>
      </c>
      <c r="V104" s="2">
        <v>0</v>
      </c>
      <c r="W104" s="3">
        <f t="shared" si="74"/>
        <v>0</v>
      </c>
      <c r="X104" s="1">
        <v>0</v>
      </c>
      <c r="Y104" s="2">
        <v>0</v>
      </c>
      <c r="Z104" s="3">
        <f t="shared" si="75"/>
        <v>0</v>
      </c>
    </row>
    <row r="105" spans="1:26" ht="11.25">
      <c r="A105" s="74">
        <f t="shared" si="76"/>
        <v>20</v>
      </c>
      <c r="B105" s="74" t="str">
        <f t="shared" si="76"/>
        <v>TID 41 - University / Whitney</v>
      </c>
      <c r="C105" s="2"/>
      <c r="D105" s="2"/>
      <c r="E105" s="2"/>
      <c r="F105" s="1">
        <f t="shared" si="77"/>
        <v>0</v>
      </c>
      <c r="G105" s="2">
        <f t="shared" si="77"/>
        <v>0</v>
      </c>
      <c r="H105" s="3">
        <f t="shared" si="66"/>
        <v>0</v>
      </c>
      <c r="I105" s="2">
        <f t="shared" si="78"/>
        <v>0</v>
      </c>
      <c r="J105" s="2">
        <f t="shared" si="78"/>
        <v>0</v>
      </c>
      <c r="K105" s="4">
        <f t="shared" si="68"/>
        <v>0</v>
      </c>
      <c r="L105" s="2">
        <f t="shared" si="79"/>
        <v>0</v>
      </c>
      <c r="M105" s="2">
        <f t="shared" si="79"/>
        <v>0</v>
      </c>
      <c r="N105" s="2">
        <f t="shared" si="70"/>
        <v>0</v>
      </c>
      <c r="O105" s="5">
        <f t="shared" si="80"/>
        <v>0</v>
      </c>
      <c r="P105" s="2">
        <f t="shared" si="81"/>
        <v>0</v>
      </c>
      <c r="Q105" s="4">
        <f t="shared" si="71"/>
        <v>0</v>
      </c>
      <c r="R105" s="2">
        <f t="shared" si="82"/>
        <v>0</v>
      </c>
      <c r="S105" s="2">
        <f t="shared" si="82"/>
        <v>0</v>
      </c>
      <c r="T105" s="3">
        <f t="shared" si="73"/>
        <v>0</v>
      </c>
      <c r="U105" s="1">
        <v>0</v>
      </c>
      <c r="V105" s="2">
        <v>0</v>
      </c>
      <c r="W105" s="3">
        <f t="shared" si="74"/>
        <v>0</v>
      </c>
      <c r="X105" s="1">
        <v>0</v>
      </c>
      <c r="Y105" s="2">
        <v>0</v>
      </c>
      <c r="Z105" s="3">
        <f t="shared" si="75"/>
        <v>0</v>
      </c>
    </row>
    <row r="106" spans="1:26" ht="11.25">
      <c r="A106" s="75">
        <f t="shared" si="76"/>
        <v>21</v>
      </c>
      <c r="B106" s="75" t="str">
        <f t="shared" si="76"/>
        <v>TID 42 - Wingra</v>
      </c>
      <c r="C106" s="76"/>
      <c r="D106" s="77"/>
      <c r="E106" s="77"/>
      <c r="F106" s="76">
        <f t="shared" si="77"/>
        <v>30000</v>
      </c>
      <c r="G106" s="77">
        <f t="shared" si="77"/>
        <v>0</v>
      </c>
      <c r="H106" s="78">
        <f t="shared" si="66"/>
        <v>30000</v>
      </c>
      <c r="I106" s="77">
        <f t="shared" si="78"/>
        <v>30000</v>
      </c>
      <c r="J106" s="77">
        <f t="shared" si="78"/>
        <v>0</v>
      </c>
      <c r="K106" s="79">
        <f t="shared" si="68"/>
        <v>30000</v>
      </c>
      <c r="L106" s="77">
        <f t="shared" si="79"/>
        <v>30000</v>
      </c>
      <c r="M106" s="77">
        <f t="shared" si="79"/>
        <v>0</v>
      </c>
      <c r="N106" s="79">
        <f t="shared" si="70"/>
        <v>30000</v>
      </c>
      <c r="O106" s="77">
        <f t="shared" si="80"/>
        <v>30000</v>
      </c>
      <c r="P106" s="77">
        <f t="shared" si="81"/>
        <v>0</v>
      </c>
      <c r="Q106" s="79">
        <f t="shared" si="71"/>
        <v>30000</v>
      </c>
      <c r="R106" s="80">
        <f t="shared" si="82"/>
        <v>30000</v>
      </c>
      <c r="S106" s="77">
        <f t="shared" si="82"/>
        <v>0</v>
      </c>
      <c r="T106" s="78">
        <f t="shared" si="73"/>
        <v>30000</v>
      </c>
      <c r="U106" s="76">
        <v>30000</v>
      </c>
      <c r="V106" s="77">
        <v>0</v>
      </c>
      <c r="W106" s="78">
        <f t="shared" si="74"/>
        <v>30000</v>
      </c>
      <c r="X106" s="76">
        <v>0</v>
      </c>
      <c r="Y106" s="77">
        <v>0</v>
      </c>
      <c r="Z106" s="78">
        <f t="shared" si="75"/>
        <v>0</v>
      </c>
    </row>
    <row r="107" spans="1:26" ht="11.25">
      <c r="A107" s="74">
        <f t="shared" si="76"/>
        <v>22</v>
      </c>
      <c r="B107" s="74" t="str">
        <f t="shared" si="76"/>
        <v>TID 43 - Royster Clark</v>
      </c>
      <c r="C107" s="2"/>
      <c r="D107" s="2"/>
      <c r="E107" s="2"/>
      <c r="F107" s="1">
        <f t="shared" si="77"/>
        <v>0</v>
      </c>
      <c r="G107" s="2">
        <f t="shared" si="77"/>
        <v>0</v>
      </c>
      <c r="H107" s="3">
        <f t="shared" si="66"/>
        <v>0</v>
      </c>
      <c r="I107" s="2">
        <f t="shared" si="78"/>
        <v>0</v>
      </c>
      <c r="J107" s="2">
        <f t="shared" si="78"/>
        <v>0</v>
      </c>
      <c r="K107" s="4">
        <f t="shared" si="68"/>
        <v>0</v>
      </c>
      <c r="L107" s="2">
        <f t="shared" si="79"/>
        <v>0</v>
      </c>
      <c r="M107" s="2">
        <f t="shared" si="79"/>
        <v>0</v>
      </c>
      <c r="N107" s="2">
        <f t="shared" si="70"/>
        <v>0</v>
      </c>
      <c r="O107" s="5">
        <f t="shared" si="80"/>
        <v>0</v>
      </c>
      <c r="P107" s="2">
        <f t="shared" si="81"/>
        <v>0</v>
      </c>
      <c r="Q107" s="4">
        <f t="shared" si="71"/>
        <v>0</v>
      </c>
      <c r="R107" s="2">
        <f t="shared" si="82"/>
        <v>0</v>
      </c>
      <c r="S107" s="2">
        <f t="shared" si="82"/>
        <v>0</v>
      </c>
      <c r="T107" s="3">
        <f t="shared" si="73"/>
        <v>0</v>
      </c>
      <c r="U107" s="1">
        <v>0</v>
      </c>
      <c r="V107" s="2">
        <v>0</v>
      </c>
      <c r="W107" s="3">
        <f t="shared" si="74"/>
        <v>0</v>
      </c>
      <c r="X107" s="1">
        <v>0</v>
      </c>
      <c r="Y107" s="2">
        <v>0</v>
      </c>
      <c r="Z107" s="3">
        <f t="shared" si="75"/>
        <v>0</v>
      </c>
    </row>
    <row r="108" spans="1:26" ht="11.25">
      <c r="A108" s="74">
        <f t="shared" si="76"/>
        <v>23</v>
      </c>
      <c r="B108" s="74" t="str">
        <f t="shared" si="76"/>
        <v>TID XX - John Nolen Drive</v>
      </c>
      <c r="C108" s="2"/>
      <c r="D108" s="2"/>
      <c r="E108" s="2"/>
      <c r="F108" s="1">
        <f t="shared" si="77"/>
        <v>0</v>
      </c>
      <c r="G108" s="2">
        <f t="shared" si="77"/>
        <v>0</v>
      </c>
      <c r="H108" s="3">
        <f t="shared" si="66"/>
        <v>0</v>
      </c>
      <c r="I108" s="2">
        <f t="shared" si="78"/>
        <v>0</v>
      </c>
      <c r="J108" s="2">
        <f t="shared" si="78"/>
        <v>0</v>
      </c>
      <c r="K108" s="4">
        <f t="shared" si="68"/>
        <v>0</v>
      </c>
      <c r="L108" s="2">
        <f t="shared" si="79"/>
        <v>0</v>
      </c>
      <c r="M108" s="2">
        <f t="shared" si="79"/>
        <v>0</v>
      </c>
      <c r="N108" s="2">
        <f t="shared" si="70"/>
        <v>0</v>
      </c>
      <c r="O108" s="5">
        <f t="shared" si="80"/>
        <v>0</v>
      </c>
      <c r="P108" s="2">
        <f t="shared" si="81"/>
        <v>0</v>
      </c>
      <c r="Q108" s="4">
        <f t="shared" si="71"/>
        <v>0</v>
      </c>
      <c r="R108" s="2">
        <f t="shared" si="82"/>
        <v>0</v>
      </c>
      <c r="S108" s="2">
        <f t="shared" si="82"/>
        <v>0</v>
      </c>
      <c r="T108" s="3">
        <f t="shared" si="73"/>
        <v>0</v>
      </c>
      <c r="U108" s="1">
        <v>0</v>
      </c>
      <c r="V108" s="2">
        <v>0</v>
      </c>
      <c r="W108" s="3">
        <f t="shared" si="74"/>
        <v>0</v>
      </c>
      <c r="X108" s="1">
        <v>0</v>
      </c>
      <c r="Y108" s="2">
        <v>0</v>
      </c>
      <c r="Z108" s="3">
        <f t="shared" si="75"/>
        <v>0</v>
      </c>
    </row>
    <row r="109" spans="1:26" ht="11.25">
      <c r="A109" s="75">
        <f t="shared" si="76"/>
        <v>24</v>
      </c>
      <c r="B109" s="75">
        <f t="shared" si="76"/>
        <v>0</v>
      </c>
      <c r="C109" s="76"/>
      <c r="D109" s="77"/>
      <c r="E109" s="77"/>
      <c r="F109" s="76">
        <f t="shared" si="77"/>
        <v>0</v>
      </c>
      <c r="G109" s="77">
        <f t="shared" si="77"/>
        <v>0</v>
      </c>
      <c r="H109" s="78">
        <f t="shared" si="66"/>
        <v>0</v>
      </c>
      <c r="I109" s="77">
        <f t="shared" si="78"/>
        <v>0</v>
      </c>
      <c r="J109" s="77">
        <f t="shared" si="78"/>
        <v>0</v>
      </c>
      <c r="K109" s="79">
        <f t="shared" si="68"/>
        <v>0</v>
      </c>
      <c r="L109" s="77">
        <f t="shared" si="79"/>
        <v>0</v>
      </c>
      <c r="M109" s="77">
        <f t="shared" si="79"/>
        <v>0</v>
      </c>
      <c r="N109" s="79">
        <f t="shared" si="70"/>
        <v>0</v>
      </c>
      <c r="O109" s="77">
        <f t="shared" si="80"/>
        <v>0</v>
      </c>
      <c r="P109" s="77">
        <f t="shared" si="81"/>
        <v>0</v>
      </c>
      <c r="Q109" s="79">
        <f t="shared" si="71"/>
        <v>0</v>
      </c>
      <c r="R109" s="80">
        <f t="shared" si="82"/>
        <v>0</v>
      </c>
      <c r="S109" s="77">
        <f t="shared" si="82"/>
        <v>0</v>
      </c>
      <c r="T109" s="78">
        <f t="shared" si="73"/>
        <v>0</v>
      </c>
      <c r="U109" s="76">
        <v>0</v>
      </c>
      <c r="V109" s="77">
        <v>0</v>
      </c>
      <c r="W109" s="78">
        <f t="shared" si="74"/>
        <v>0</v>
      </c>
      <c r="X109" s="76">
        <v>0</v>
      </c>
      <c r="Y109" s="77">
        <v>0</v>
      </c>
      <c r="Z109" s="78">
        <f t="shared" si="75"/>
        <v>0</v>
      </c>
    </row>
    <row r="110" spans="1:26" ht="11.25">
      <c r="A110" s="74">
        <f t="shared" si="76"/>
        <v>25</v>
      </c>
      <c r="B110" s="74" t="str">
        <f t="shared" si="76"/>
        <v>TID 32 - Upper State Street Corridor</v>
      </c>
      <c r="C110" s="2"/>
      <c r="D110" s="2"/>
      <c r="E110" s="2"/>
      <c r="F110" s="1">
        <v>332000</v>
      </c>
      <c r="G110" s="2">
        <f t="shared" si="77"/>
        <v>0</v>
      </c>
      <c r="H110" s="3">
        <f t="shared" si="66"/>
        <v>332000</v>
      </c>
      <c r="I110" s="2">
        <f t="shared" si="78"/>
        <v>200000</v>
      </c>
      <c r="J110" s="2">
        <f t="shared" si="78"/>
        <v>0</v>
      </c>
      <c r="K110" s="4">
        <f t="shared" si="68"/>
        <v>200000</v>
      </c>
      <c r="L110" s="2">
        <f t="shared" si="79"/>
        <v>200000</v>
      </c>
      <c r="M110" s="2">
        <f t="shared" si="79"/>
        <v>0</v>
      </c>
      <c r="N110" s="2">
        <f t="shared" si="70"/>
        <v>200000</v>
      </c>
      <c r="O110" s="5">
        <f t="shared" si="80"/>
        <v>200000</v>
      </c>
      <c r="P110" s="2">
        <f t="shared" si="81"/>
        <v>0</v>
      </c>
      <c r="Q110" s="4">
        <f t="shared" si="71"/>
        <v>200000</v>
      </c>
      <c r="R110" s="2">
        <f t="shared" si="82"/>
        <v>200000</v>
      </c>
      <c r="S110" s="2">
        <f t="shared" si="82"/>
        <v>0</v>
      </c>
      <c r="T110" s="3">
        <f t="shared" si="73"/>
        <v>200000</v>
      </c>
      <c r="U110" s="1">
        <v>200000</v>
      </c>
      <c r="V110" s="2">
        <v>0</v>
      </c>
      <c r="W110" s="3">
        <f t="shared" si="74"/>
        <v>200000</v>
      </c>
      <c r="X110" s="1">
        <v>0</v>
      </c>
      <c r="Y110" s="2">
        <v>0</v>
      </c>
      <c r="Z110" s="3">
        <f t="shared" si="75"/>
        <v>0</v>
      </c>
    </row>
    <row r="111" spans="1:26" ht="11.25">
      <c r="A111" s="74">
        <f t="shared" si="76"/>
        <v>26</v>
      </c>
      <c r="B111" s="74" t="str">
        <f t="shared" si="76"/>
        <v>Economic Development Plan</v>
      </c>
      <c r="C111" s="2"/>
      <c r="D111" s="2"/>
      <c r="E111" s="2"/>
      <c r="F111" s="1">
        <f t="shared" si="77"/>
        <v>175000</v>
      </c>
      <c r="G111" s="2">
        <f t="shared" si="77"/>
        <v>0</v>
      </c>
      <c r="H111" s="3">
        <f t="shared" si="66"/>
        <v>175000</v>
      </c>
      <c r="I111" s="2">
        <f t="shared" si="78"/>
        <v>0</v>
      </c>
      <c r="J111" s="2">
        <f t="shared" si="78"/>
        <v>0</v>
      </c>
      <c r="K111" s="4">
        <f t="shared" si="68"/>
        <v>0</v>
      </c>
      <c r="L111" s="2">
        <f t="shared" si="79"/>
        <v>0</v>
      </c>
      <c r="M111" s="2">
        <f t="shared" si="79"/>
        <v>0</v>
      </c>
      <c r="N111" s="2">
        <f t="shared" si="70"/>
        <v>0</v>
      </c>
      <c r="O111" s="5">
        <f t="shared" si="80"/>
        <v>0</v>
      </c>
      <c r="P111" s="2">
        <f t="shared" si="81"/>
        <v>0</v>
      </c>
      <c r="Q111" s="4">
        <f t="shared" si="71"/>
        <v>0</v>
      </c>
      <c r="R111" s="2">
        <f t="shared" si="82"/>
        <v>0</v>
      </c>
      <c r="S111" s="2">
        <f t="shared" si="82"/>
        <v>0</v>
      </c>
      <c r="T111" s="3">
        <f t="shared" si="73"/>
        <v>0</v>
      </c>
      <c r="U111" s="1">
        <v>0</v>
      </c>
      <c r="V111" s="2">
        <v>0</v>
      </c>
      <c r="W111" s="3">
        <f t="shared" si="74"/>
        <v>0</v>
      </c>
      <c r="X111" s="1">
        <v>0</v>
      </c>
      <c r="Y111" s="2">
        <v>0</v>
      </c>
      <c r="Z111" s="3">
        <f t="shared" si="75"/>
        <v>0</v>
      </c>
    </row>
    <row r="112" spans="1:26" ht="11.25">
      <c r="A112" s="75">
        <f t="shared" si="76"/>
        <v>27</v>
      </c>
      <c r="B112" s="75" t="str">
        <f t="shared" si="76"/>
        <v>Tax Incremental Finance Districts</v>
      </c>
      <c r="C112" s="76"/>
      <c r="D112" s="77"/>
      <c r="E112" s="77"/>
      <c r="F112" s="76"/>
      <c r="G112" s="77">
        <f t="shared" si="77"/>
        <v>0</v>
      </c>
      <c r="H112" s="78">
        <f t="shared" si="66"/>
        <v>0</v>
      </c>
      <c r="I112" s="77">
        <f t="shared" si="78"/>
        <v>0</v>
      </c>
      <c r="J112" s="77">
        <f t="shared" si="78"/>
        <v>0</v>
      </c>
      <c r="K112" s="79">
        <f t="shared" si="68"/>
        <v>0</v>
      </c>
      <c r="L112" s="77">
        <f t="shared" si="79"/>
        <v>0</v>
      </c>
      <c r="M112" s="77">
        <f t="shared" si="79"/>
        <v>0</v>
      </c>
      <c r="N112" s="79">
        <f t="shared" si="70"/>
        <v>0</v>
      </c>
      <c r="O112" s="77">
        <f t="shared" si="80"/>
        <v>0</v>
      </c>
      <c r="P112" s="77">
        <f t="shared" si="81"/>
        <v>0</v>
      </c>
      <c r="Q112" s="79">
        <f t="shared" si="71"/>
        <v>0</v>
      </c>
      <c r="R112" s="80">
        <f t="shared" si="82"/>
        <v>0</v>
      </c>
      <c r="S112" s="77">
        <f t="shared" si="82"/>
        <v>0</v>
      </c>
      <c r="T112" s="78">
        <f t="shared" si="73"/>
        <v>0</v>
      </c>
      <c r="U112" s="76">
        <v>0</v>
      </c>
      <c r="V112" s="77">
        <v>0</v>
      </c>
      <c r="W112" s="78">
        <f t="shared" si="74"/>
        <v>0</v>
      </c>
      <c r="X112" s="76">
        <v>0</v>
      </c>
      <c r="Y112" s="77">
        <v>0</v>
      </c>
      <c r="Z112" s="78">
        <f t="shared" si="75"/>
        <v>0</v>
      </c>
    </row>
    <row r="113" spans="1:26" ht="11.25">
      <c r="A113" s="74">
        <f t="shared" si="76"/>
        <v>28</v>
      </c>
      <c r="B113" s="74" t="str">
        <f t="shared" si="76"/>
        <v>Public Market (New)</v>
      </c>
      <c r="C113" s="2"/>
      <c r="D113" s="2"/>
      <c r="E113" s="2"/>
      <c r="F113" s="1">
        <f t="shared" si="77"/>
        <v>3500000</v>
      </c>
      <c r="G113" s="2">
        <f t="shared" si="77"/>
        <v>0</v>
      </c>
      <c r="H113" s="3">
        <f t="shared" si="66"/>
        <v>3500000</v>
      </c>
      <c r="I113" s="2">
        <f t="shared" si="78"/>
        <v>0</v>
      </c>
      <c r="J113" s="2">
        <f t="shared" si="78"/>
        <v>0</v>
      </c>
      <c r="K113" s="4">
        <f t="shared" si="68"/>
        <v>0</v>
      </c>
      <c r="L113" s="2">
        <f t="shared" si="79"/>
        <v>0</v>
      </c>
      <c r="M113" s="2">
        <f t="shared" si="79"/>
        <v>0</v>
      </c>
      <c r="N113" s="2">
        <f t="shared" si="70"/>
        <v>0</v>
      </c>
      <c r="O113" s="5">
        <f t="shared" si="80"/>
        <v>0</v>
      </c>
      <c r="P113" s="2">
        <f t="shared" si="81"/>
        <v>0</v>
      </c>
      <c r="Q113" s="4">
        <f t="shared" si="71"/>
        <v>0</v>
      </c>
      <c r="R113" s="2">
        <f t="shared" si="82"/>
        <v>0</v>
      </c>
      <c r="S113" s="2">
        <f t="shared" si="82"/>
        <v>0</v>
      </c>
      <c r="T113" s="3">
        <f t="shared" si="73"/>
        <v>0</v>
      </c>
      <c r="U113" s="1">
        <v>0</v>
      </c>
      <c r="V113" s="2">
        <v>0</v>
      </c>
      <c r="W113" s="3">
        <f t="shared" si="74"/>
        <v>0</v>
      </c>
      <c r="X113" s="1">
        <v>0</v>
      </c>
      <c r="Y113" s="2">
        <v>0</v>
      </c>
      <c r="Z113" s="3">
        <f t="shared" si="75"/>
        <v>0</v>
      </c>
    </row>
    <row r="114" spans="1:26" ht="11.25">
      <c r="A114" s="74">
        <f t="shared" si="76"/>
        <v>29</v>
      </c>
      <c r="B114" s="74" t="str">
        <f t="shared" si="76"/>
        <v>TID XX - West Beltline</v>
      </c>
      <c r="C114" s="2"/>
      <c r="D114" s="2"/>
      <c r="E114" s="2"/>
      <c r="F114" s="1">
        <f t="shared" si="77"/>
        <v>0</v>
      </c>
      <c r="G114" s="2">
        <f t="shared" si="77"/>
        <v>0</v>
      </c>
      <c r="H114" s="3">
        <f t="shared" si="66"/>
        <v>0</v>
      </c>
      <c r="I114" s="2">
        <f t="shared" si="78"/>
        <v>0</v>
      </c>
      <c r="J114" s="2">
        <f t="shared" si="78"/>
        <v>0</v>
      </c>
      <c r="K114" s="4">
        <f t="shared" si="68"/>
        <v>0</v>
      </c>
      <c r="L114" s="2">
        <f t="shared" si="79"/>
        <v>0</v>
      </c>
      <c r="M114" s="2">
        <f t="shared" si="79"/>
        <v>0</v>
      </c>
      <c r="N114" s="2">
        <f t="shared" si="70"/>
        <v>0</v>
      </c>
      <c r="O114" s="5">
        <f t="shared" si="80"/>
        <v>0</v>
      </c>
      <c r="P114" s="2">
        <f t="shared" si="81"/>
        <v>0</v>
      </c>
      <c r="Q114" s="4">
        <f t="shared" si="71"/>
        <v>0</v>
      </c>
      <c r="R114" s="2">
        <f t="shared" si="82"/>
        <v>0</v>
      </c>
      <c r="S114" s="2">
        <f t="shared" si="82"/>
        <v>0</v>
      </c>
      <c r="T114" s="3">
        <f t="shared" si="73"/>
        <v>0</v>
      </c>
      <c r="U114" s="1">
        <v>0</v>
      </c>
      <c r="V114" s="2">
        <v>0</v>
      </c>
      <c r="W114" s="3">
        <f t="shared" si="74"/>
        <v>0</v>
      </c>
      <c r="X114" s="1">
        <v>0</v>
      </c>
      <c r="Y114" s="2">
        <v>0</v>
      </c>
      <c r="Z114" s="3">
        <f t="shared" si="75"/>
        <v>0</v>
      </c>
    </row>
    <row r="115" spans="1:26" ht="11.25">
      <c r="A115" s="75">
        <f t="shared" si="76"/>
        <v>30</v>
      </c>
      <c r="B115" s="75" t="str">
        <f t="shared" si="76"/>
        <v>TID 35 - Todd Drive / West Beltline</v>
      </c>
      <c r="C115" s="76"/>
      <c r="D115" s="77"/>
      <c r="E115" s="77"/>
      <c r="F115" s="76">
        <f t="shared" si="77"/>
        <v>0</v>
      </c>
      <c r="G115" s="77">
        <f t="shared" si="77"/>
        <v>500000</v>
      </c>
      <c r="H115" s="78">
        <f>SUM(F115:G115)</f>
        <v>500000</v>
      </c>
      <c r="I115" s="77">
        <f t="shared" si="78"/>
        <v>0</v>
      </c>
      <c r="J115" s="77">
        <f t="shared" si="78"/>
        <v>0</v>
      </c>
      <c r="K115" s="79">
        <f>SUM(I115:J115)</f>
        <v>0</v>
      </c>
      <c r="L115" s="77">
        <f t="shared" si="79"/>
        <v>0</v>
      </c>
      <c r="M115" s="77">
        <f t="shared" si="79"/>
        <v>0</v>
      </c>
      <c r="N115" s="79">
        <f>SUM(L115:M115)</f>
        <v>0</v>
      </c>
      <c r="O115" s="77">
        <f t="shared" si="80"/>
        <v>0</v>
      </c>
      <c r="P115" s="77">
        <f t="shared" si="81"/>
        <v>0</v>
      </c>
      <c r="Q115" s="79">
        <f>SUM(O115:P115)</f>
        <v>0</v>
      </c>
      <c r="R115" s="80">
        <f t="shared" si="82"/>
        <v>0</v>
      </c>
      <c r="S115" s="77">
        <f t="shared" si="82"/>
        <v>0</v>
      </c>
      <c r="T115" s="78">
        <f>SUM(R115:S115)</f>
        <v>0</v>
      </c>
      <c r="U115" s="76">
        <v>0</v>
      </c>
      <c r="V115" s="77">
        <v>0</v>
      </c>
      <c r="W115" s="78">
        <f>U115+V115</f>
        <v>0</v>
      </c>
      <c r="X115" s="76">
        <v>0</v>
      </c>
      <c r="Y115" s="77">
        <v>0</v>
      </c>
      <c r="Z115" s="78">
        <f>X115+Y115</f>
        <v>0</v>
      </c>
    </row>
    <row r="116" spans="1:26" ht="12" thickBot="1">
      <c r="A116" s="62"/>
      <c r="B116" s="62" t="s">
        <v>3</v>
      </c>
      <c r="C116" s="2"/>
      <c r="D116" s="2"/>
      <c r="E116" s="2"/>
      <c r="F116" s="81">
        <f aca="true" t="shared" si="83" ref="F116:Z116">SUM(F86:F115)</f>
        <v>6372000</v>
      </c>
      <c r="G116" s="82">
        <f t="shared" si="83"/>
        <v>3190000</v>
      </c>
      <c r="H116" s="83">
        <f t="shared" si="83"/>
        <v>9562000</v>
      </c>
      <c r="I116" s="81">
        <f t="shared" si="83"/>
        <v>2185000</v>
      </c>
      <c r="J116" s="82">
        <f t="shared" si="83"/>
        <v>500000</v>
      </c>
      <c r="K116" s="83">
        <f t="shared" si="83"/>
        <v>2685000</v>
      </c>
      <c r="L116" s="81">
        <f t="shared" si="83"/>
        <v>2260000</v>
      </c>
      <c r="M116" s="82">
        <f t="shared" si="83"/>
        <v>500000</v>
      </c>
      <c r="N116" s="83">
        <f t="shared" si="83"/>
        <v>2760000</v>
      </c>
      <c r="O116" s="81">
        <f t="shared" si="83"/>
        <v>2260000</v>
      </c>
      <c r="P116" s="82">
        <f t="shared" si="83"/>
        <v>0</v>
      </c>
      <c r="Q116" s="83">
        <f t="shared" si="83"/>
        <v>2260000</v>
      </c>
      <c r="R116" s="81">
        <f t="shared" si="83"/>
        <v>2260000</v>
      </c>
      <c r="S116" s="82">
        <f t="shared" si="83"/>
        <v>0</v>
      </c>
      <c r="T116" s="83">
        <f t="shared" si="83"/>
        <v>2260000</v>
      </c>
      <c r="U116" s="81">
        <f t="shared" si="83"/>
        <v>6260000</v>
      </c>
      <c r="V116" s="82">
        <f t="shared" si="83"/>
        <v>0</v>
      </c>
      <c r="W116" s="83">
        <f t="shared" si="83"/>
        <v>6260000</v>
      </c>
      <c r="X116" s="81">
        <f t="shared" si="83"/>
        <v>0</v>
      </c>
      <c r="Y116" s="82">
        <f t="shared" si="83"/>
        <v>0</v>
      </c>
      <c r="Z116" s="83">
        <f t="shared" si="83"/>
        <v>0</v>
      </c>
    </row>
    <row r="117" spans="1:26" ht="11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2"/>
      <c r="Y117" s="2"/>
      <c r="Z117" s="2"/>
    </row>
    <row r="118" spans="1:26" ht="11.25">
      <c r="A118" s="62"/>
      <c r="B118" s="62" t="s">
        <v>27</v>
      </c>
      <c r="C118" s="62"/>
      <c r="D118" s="62"/>
      <c r="E118" s="62"/>
      <c r="F118" s="62">
        <f>F37*0.9</f>
        <v>6183000</v>
      </c>
      <c r="G118" s="62"/>
      <c r="H118" s="62"/>
      <c r="I118" s="62">
        <f>I37*0.9</f>
        <v>2470500</v>
      </c>
      <c r="J118" s="62"/>
      <c r="K118" s="62"/>
      <c r="L118" s="62">
        <f>L37*0.9</f>
        <v>1638000</v>
      </c>
      <c r="M118" s="62"/>
      <c r="N118" s="62"/>
      <c r="O118" s="62">
        <f>O37*0.9</f>
        <v>2538000</v>
      </c>
      <c r="P118" s="62"/>
      <c r="Q118" s="62"/>
      <c r="R118" s="62">
        <f>R37*0.9</f>
        <v>1638000</v>
      </c>
      <c r="S118" s="62"/>
      <c r="T118" s="62"/>
      <c r="U118" s="62"/>
      <c r="V118" s="62"/>
      <c r="W118" s="62"/>
      <c r="X118" s="2"/>
      <c r="Y118" s="2"/>
      <c r="Z118" s="2"/>
    </row>
    <row r="119" spans="1:26" ht="11.25">
      <c r="A119" s="62"/>
      <c r="B119" s="62" t="s">
        <v>38</v>
      </c>
      <c r="C119" s="62"/>
      <c r="D119" s="62"/>
      <c r="E119" s="62"/>
      <c r="F119" s="84">
        <f>-30000-665000-175000</f>
        <v>-870000</v>
      </c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2"/>
    </row>
    <row r="120" spans="1:26" ht="11.25">
      <c r="A120" s="62"/>
      <c r="B120" s="62" t="s">
        <v>28</v>
      </c>
      <c r="C120" s="62"/>
      <c r="D120" s="62"/>
      <c r="E120" s="62"/>
      <c r="F120" s="84">
        <f>F116-F118+F119</f>
        <v>-681000</v>
      </c>
      <c r="G120" s="84"/>
      <c r="H120" s="84"/>
      <c r="I120" s="84">
        <f>I116-I118</f>
        <v>-285500</v>
      </c>
      <c r="J120" s="84"/>
      <c r="K120" s="84"/>
      <c r="L120" s="84">
        <f>L116-L118</f>
        <v>622000</v>
      </c>
      <c r="M120" s="84"/>
      <c r="N120" s="84"/>
      <c r="O120" s="84">
        <f>O116-O118</f>
        <v>-278000</v>
      </c>
      <c r="P120" s="84"/>
      <c r="Q120" s="84"/>
      <c r="R120" s="84">
        <f>R116-R118</f>
        <v>622000</v>
      </c>
      <c r="S120" s="62"/>
      <c r="T120" s="62"/>
      <c r="U120" s="62"/>
      <c r="V120" s="62"/>
      <c r="W120" s="62"/>
      <c r="X120" s="2">
        <f>-R38*0.9+F116+I116+L116+O116+R116+F119</f>
        <v>-500</v>
      </c>
      <c r="Y120" s="2" t="s">
        <v>8</v>
      </c>
      <c r="Z120" s="2"/>
    </row>
    <row r="121" spans="1:26" ht="11.25">
      <c r="A121" s="62"/>
      <c r="B121" s="62" t="s">
        <v>29</v>
      </c>
      <c r="C121" s="62"/>
      <c r="D121" s="62"/>
      <c r="E121" s="62"/>
      <c r="F121" s="84">
        <f>F120</f>
        <v>-681000</v>
      </c>
      <c r="G121" s="84"/>
      <c r="H121" s="84"/>
      <c r="I121" s="84">
        <f>F121+I120</f>
        <v>-966500</v>
      </c>
      <c r="J121" s="84"/>
      <c r="K121" s="84"/>
      <c r="L121" s="84">
        <f>I121+L120</f>
        <v>-344500</v>
      </c>
      <c r="M121" s="84"/>
      <c r="N121" s="84"/>
      <c r="O121" s="84">
        <f>L121+O120</f>
        <v>-622500</v>
      </c>
      <c r="P121" s="84"/>
      <c r="Q121" s="84"/>
      <c r="R121" s="91">
        <f>O121+R120</f>
        <v>-500</v>
      </c>
      <c r="S121" s="62" t="s">
        <v>21</v>
      </c>
      <c r="T121" s="62"/>
      <c r="U121" s="62"/>
      <c r="V121" s="62"/>
      <c r="W121" s="62"/>
      <c r="X121" s="2">
        <f>R38*0.1</f>
        <v>1607500</v>
      </c>
      <c r="Y121" s="2" t="s">
        <v>8</v>
      </c>
      <c r="Z121" s="2"/>
    </row>
  </sheetData>
  <sheetProtection password="CCDE" sheet="1" insertRows="0"/>
  <mergeCells count="8">
    <mergeCell ref="R3:T3"/>
    <mergeCell ref="U3:W3"/>
    <mergeCell ref="R82:T82"/>
    <mergeCell ref="U82:W82"/>
    <mergeCell ref="X82:Z82"/>
    <mergeCell ref="R41:T41"/>
    <mergeCell ref="U41:W41"/>
    <mergeCell ref="X41:Z41"/>
  </mergeCells>
  <printOptions horizontalCentered="1"/>
  <pageMargins left="0.25" right="0.25" top="0.3" bottom="0.3" header="0.3" footer="0.05"/>
  <pageSetup horizontalDpi="600" verticalDpi="600" orientation="landscape" paperSize="5" scale="80" r:id="rId1"/>
  <headerFooter alignWithMargins="0">
    <oddFooter>&amp;L
&amp;CPage &amp;P of &amp;N&amp;R&amp;F</oddFooter>
  </headerFooter>
  <rowBreaks count="2" manualBreakCount="2">
    <brk id="39" max="25" man="1"/>
    <brk id="80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Comptrollers</dc:creator>
  <cp:keywords/>
  <dc:description/>
  <cp:lastModifiedBy>reakf</cp:lastModifiedBy>
  <cp:lastPrinted>2013-06-18T15:11:23Z</cp:lastPrinted>
  <dcterms:created xsi:type="dcterms:W3CDTF">1999-07-07T18:23:48Z</dcterms:created>
  <dcterms:modified xsi:type="dcterms:W3CDTF">2013-06-19T15:42:18Z</dcterms:modified>
  <cp:category/>
  <cp:version/>
  <cp:contentType/>
  <cp:contentStatus/>
</cp:coreProperties>
</file>