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activeX/activeX4.bin" ContentType="application/vnd.ms-office.activeX"/>
  <Override PartName="/xl/activeX/activeX9.xml" ContentType="application/vnd.ms-office.activeX+xml"/>
  <Override PartName="/xl/activeX/activeX25.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activeX/activeX14.bin" ContentType="application/vnd.ms-office.activeX"/>
  <Override PartName="/xl/activeX/activeX19.xml" ContentType="application/vnd.ms-office.activeX+xml"/>
  <Override PartName="/customXml/itemProps1.xml" ContentType="application/vnd.openxmlformats-officedocument.customXmlProperti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activeX/activeX5.xml" ContentType="application/vnd.ms-office.activeX+xml"/>
  <Override PartName="/xl/activeX/activeX21.bin" ContentType="application/vnd.ms-office.activeX"/>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0.bin" ContentType="application/vnd.ms-office.activeX"/>
  <Override PartName="/xl/activeX/activeX15.xml" ContentType="application/vnd.ms-office.activeX+xml"/>
  <Override PartName="/xl/activeX/activeX24.xml" ContentType="application/vnd.ms-office.activeX+xml"/>
  <Override PartName="/xl/activeX/activeX26.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activeX/activeX9.bin" ContentType="application/vnd.ms-office.activeX"/>
  <Override PartName="/xl/activeX/activeX11.xml" ContentType="application/vnd.ms-office.activeX+xml"/>
  <Override PartName="/xl/activeX/activeX20.xml" ContentType="application/vnd.ms-office.activeX+xml"/>
  <Override PartName="/xl/worksheets/sheet29.xml" ContentType="application/vnd.openxmlformats-officedocument.spreadsheetml.worksheet+xml"/>
  <Override PartName="/xl/sharedStrings.xml" ContentType="application/vnd.openxmlformats-officedocument.spreadsheetml.sharedStrings+xml"/>
  <Override PartName="/xl/activeX/activeX7.bin" ContentType="application/vnd.ms-office.activeX"/>
  <Override PartName="/xl/activeX/activeX19.bin" ContentType="application/vnd.ms-office.activeX"/>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activeX/activeX5.bin" ContentType="application/vnd.ms-office.activeX"/>
  <Override PartName="/xl/activeX/activeX17.bin" ContentType="application/vnd.ms-office.activeX"/>
  <Override PartName="/xl/activeX/activeX28.bin" ContentType="application/vnd.ms-office.activeX"/>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activeX/activeX3.bin" ContentType="application/vnd.ms-office.activeX"/>
  <Override PartName="/xl/activeX/activeX15.bin" ContentType="application/vnd.ms-office.activeX"/>
  <Default Extension="png" ContentType="image/png"/>
  <Override PartName="/xl/activeX/activeX26.bin" ContentType="application/vnd.ms-office.activeX"/>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activeX/activeX1.bin" ContentType="application/vnd.ms-office.activeX"/>
  <Override PartName="/xl/activeX/activeX8.xml" ContentType="application/vnd.ms-office.activeX+xml"/>
  <Override PartName="/xl/activeX/activeX13.bin" ContentType="application/vnd.ms-office.activeX"/>
  <Override PartName="/xl/activeX/activeX22.bin" ContentType="application/vnd.ms-office.activeX"/>
  <Override PartName="/xl/activeX/activeX24.bin" ContentType="application/vnd.ms-office.activeX"/>
  <Override PartName="/xl/activeX/activeX29.xml" ContentType="application/vnd.ms-office.activeX+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activeX/activeX6.xml" ContentType="application/vnd.ms-office.activeX+xml"/>
  <Default Extension="emf" ContentType="image/x-emf"/>
  <Override PartName="/xl/activeX/activeX11.bin" ContentType="application/vnd.ms-office.activeX"/>
  <Override PartName="/xl/activeX/activeX18.xml" ContentType="application/vnd.ms-office.activeX+xml"/>
  <Override PartName="/xl/activeX/activeX20.bin" ContentType="application/vnd.ms-office.activeX"/>
  <Override PartName="/xl/activeX/activeX27.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4.xml" ContentType="application/vnd.ms-office.activeX+xml"/>
  <Override PartName="/xl/drawings/drawing1.xml" ContentType="application/vnd.openxmlformats-officedocument.drawing+xml"/>
  <Override PartName="/xl/activeX/activeX23.xml" ContentType="application/vnd.ms-office.activeX+xml"/>
  <Default Extension="vml" ContentType="application/vnd.openxmlformats-officedocument.vmlDrawing"/>
  <Override PartName="/xl/activeX/activeX12.xml" ContentType="application/vnd.ms-office.activeX+xml"/>
  <Override PartName="/xl/activeX/activeX21.xml" ContentType="application/vnd.ms-office.activeX+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activeX/activeX8.bin" ContentType="application/vnd.ms-office.activeX"/>
  <Override PartName="/xl/activeX/activeX10.xml" ContentType="application/vnd.ms-office.activeX+xml"/>
  <Override PartName="/xl/activeX/activeX29.bin" ContentType="application/vnd.ms-office.activeX"/>
  <Override PartName="/xl/worksheets/sheet17.xml" ContentType="application/vnd.openxmlformats-officedocument.spreadsheetml.worksheet+xml"/>
  <Override PartName="/xl/worksheets/sheet26.xml" ContentType="application/vnd.openxmlformats-officedocument.spreadsheetml.worksheet+xml"/>
  <Override PartName="/xl/activeX/activeX6.bin" ContentType="application/vnd.ms-office.activeX"/>
  <Override PartName="/xl/activeX/activeX18.bin" ContentType="application/vnd.ms-office.activeX"/>
  <Override PartName="/xl/activeX/activeX27.bin" ContentType="application/vnd.ms-office.activeX"/>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Override PartName="/xl/activeX/activeX16.bin" ContentType="application/vnd.ms-office.activeX"/>
  <Override PartName="/customXml/itemProps3.xml" ContentType="application/vnd.openxmlformats-officedocument.customXmlProperti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activeX/activeX7.xml" ContentType="application/vnd.ms-office.activeX+xml"/>
  <Override PartName="/xl/activeX/activeX23.bin" ContentType="application/vnd.ms-office.activeX"/>
  <Override PartName="/xl/worksheets/sheet11.xml" ContentType="application/vnd.openxmlformats-officedocument.spreadsheetml.worksheet+xml"/>
  <Override PartName="/xl/activeX/activeX12.bin" ContentType="application/vnd.ms-office.activeX"/>
  <Override PartName="/xl/activeX/activeX17.xml" ContentType="application/vnd.ms-office.activeX+xml"/>
  <Override PartName="/xl/activeX/activeX28.xml" ContentType="application/vnd.ms-office.activeX+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95" windowWidth="20730" windowHeight="11400" tabRatio="756" firstSheet="2" activeTab="2"/>
  </bookViews>
  <sheets>
    <sheet name="Start" sheetId="4" state="hidden" r:id="rId1"/>
    <sheet name="Data" sheetId="5" state="hidden" r:id="rId2"/>
    <sheet name="MainMenu" sheetId="41" r:id="rId3"/>
    <sheet name="Instructions" sheetId="7" r:id="rId4"/>
    <sheet name="F3024" sheetId="8" r:id="rId5"/>
    <sheet name="Hearing" sheetId="9" r:id="rId6"/>
    <sheet name="Attach1" sheetId="10" r:id="rId7"/>
    <sheet name="Attach2A" sheetId="49" r:id="rId8"/>
    <sheet name="Attach2B" sheetId="46" r:id="rId9"/>
    <sheet name="Attach2C" sheetId="12" r:id="rId10"/>
    <sheet name="Attach3A" sheetId="50" r:id="rId11"/>
    <sheet name="Attach3B" sheetId="47" r:id="rId12"/>
    <sheet name="Attach3W" sheetId="14" r:id="rId13"/>
    <sheet name="Attach4" sheetId="15" r:id="rId14"/>
    <sheet name="Attach5" sheetId="16" r:id="rId15"/>
    <sheet name="Attach6" sheetId="17" r:id="rId16"/>
    <sheet name="Attach7" sheetId="18" r:id="rId17"/>
    <sheet name="Attach8" sheetId="19" r:id="rId18"/>
    <sheet name="Attach9" sheetId="20" r:id="rId19"/>
    <sheet name="Attach10_AB" sheetId="38" r:id="rId20"/>
    <sheet name="Attach10_C" sheetId="21" state="hidden" r:id="rId21"/>
    <sheet name="Attach10_D" sheetId="40" state="hidden" r:id="rId22"/>
    <sheet name="Attach11" sheetId="22" r:id="rId23"/>
    <sheet name="Attach11a" sheetId="23" r:id="rId24"/>
    <sheet name="Attach12" sheetId="24" r:id="rId25"/>
    <sheet name="Attach13" sheetId="25" r:id="rId26"/>
    <sheet name="Attach14" sheetId="26" r:id="rId27"/>
    <sheet name="Attach15" sheetId="27" r:id="rId28"/>
    <sheet name="Attach16" sheetId="28" r:id="rId29"/>
    <sheet name="Attach17" sheetId="30" r:id="rId30"/>
    <sheet name="Attach18" sheetId="32" r:id="rId31"/>
    <sheet name="Attach19" sheetId="33" r:id="rId32"/>
    <sheet name="Attach20" sheetId="34" r:id="rId33"/>
    <sheet name="Attach21" sheetId="35" r:id="rId34"/>
    <sheet name="Attach22" sheetId="36" r:id="rId35"/>
    <sheet name="Attach23" sheetId="37" r:id="rId36"/>
  </sheets>
  <definedNames>
    <definedName name="ActualDate" localSheetId="8">Attach2B!$L$6</definedName>
    <definedName name="asdfas" hidden="1">{#N/A,#N/A,FALSE,"AttachC2 &amp; 3";#N/A,#N/A,FALSE,"AttachC4";#N/A,#N/A,FALSE,"AttachC5";#N/A,#N/A,FALSE,"AttachC6,pg1";#N/A,#N/A,FALSE,"AttachC6,pg2";#N/A,#N/A,FALSE,"AttachC8";#N/A,#N/A,FALSE,"AttachC9";#N/A,#N/A,FALSE,"AttachC10"}</definedName>
    <definedName name="Attch7" localSheetId="19" hidden="1">{#N/A,#N/A,FALSE,"AttachC2 &amp; 3";#N/A,#N/A,FALSE,"AttachC4";#N/A,#N/A,FALSE,"AttachC5";#N/A,#N/A,FALSE,"AttachC6,pg1";#N/A,#N/A,FALSE,"AttachC6,pg2";#N/A,#N/A,FALSE,"AttachC8";#N/A,#N/A,FALSE,"AttachC9";#N/A,#N/A,FALSE,"AttachC10"}</definedName>
    <definedName name="Attch7" localSheetId="20" hidden="1">{#N/A,#N/A,FALSE,"AttachC2 &amp; 3";#N/A,#N/A,FALSE,"AttachC4";#N/A,#N/A,FALSE,"AttachC5";#N/A,#N/A,FALSE,"AttachC6,pg1";#N/A,#N/A,FALSE,"AttachC6,pg2";#N/A,#N/A,FALSE,"AttachC8";#N/A,#N/A,FALSE,"AttachC9";#N/A,#N/A,FALSE,"AttachC10"}</definedName>
    <definedName name="Attch7" localSheetId="21" hidden="1">{#N/A,#N/A,FALSE,"AttachC2 &amp; 3";#N/A,#N/A,FALSE,"AttachC4";#N/A,#N/A,FALSE,"AttachC5";#N/A,#N/A,FALSE,"AttachC6,pg1";#N/A,#N/A,FALSE,"AttachC6,pg2";#N/A,#N/A,FALSE,"AttachC8";#N/A,#N/A,FALSE,"AttachC9";#N/A,#N/A,FALSE,"AttachC10"}</definedName>
    <definedName name="Attch7" localSheetId="27" hidden="1">{#N/A,#N/A,FALSE,"AttachC2 &amp; 3";#N/A,#N/A,FALSE,"AttachC4";#N/A,#N/A,FALSE,"AttachC5";#N/A,#N/A,FALSE,"AttachC6,pg1";#N/A,#N/A,FALSE,"AttachC6,pg2";#N/A,#N/A,FALSE,"AttachC8";#N/A,#N/A,FALSE,"AttachC9";#N/A,#N/A,FALSE,"AttachC10"}</definedName>
    <definedName name="Attch7" localSheetId="29" hidden="1">{#N/A,#N/A,FALSE,"AttachC2 &amp; 3";#N/A,#N/A,FALSE,"AttachC4";#N/A,#N/A,FALSE,"AttachC5";#N/A,#N/A,FALSE,"AttachC6,pg1";#N/A,#N/A,FALSE,"AttachC6,pg2";#N/A,#N/A,FALSE,"AttachC8";#N/A,#N/A,FALSE,"AttachC9";#N/A,#N/A,FALSE,"AttachC10"}</definedName>
    <definedName name="Attch7" localSheetId="31" hidden="1">{#N/A,#N/A,FALSE,"AttachC2 &amp; 3";#N/A,#N/A,FALSE,"AttachC4";#N/A,#N/A,FALSE,"AttachC5";#N/A,#N/A,FALSE,"AttachC6,pg1";#N/A,#N/A,FALSE,"AttachC6,pg2";#N/A,#N/A,FALSE,"AttachC8";#N/A,#N/A,FALSE,"AttachC9";#N/A,#N/A,FALSE,"AttachC10"}</definedName>
    <definedName name="Attch7" localSheetId="32" hidden="1">{#N/A,#N/A,FALSE,"AttachC2 &amp; 3";#N/A,#N/A,FALSE,"AttachC4";#N/A,#N/A,FALSE,"AttachC5";#N/A,#N/A,FALSE,"AttachC6,pg1";#N/A,#N/A,FALSE,"AttachC6,pg2";#N/A,#N/A,FALSE,"AttachC8";#N/A,#N/A,FALSE,"AttachC9";#N/A,#N/A,FALSE,"AttachC10"}</definedName>
    <definedName name="Attch7" localSheetId="33" hidden="1">{#N/A,#N/A,FALSE,"AttachC2 &amp; 3";#N/A,#N/A,FALSE,"AttachC4";#N/A,#N/A,FALSE,"AttachC5";#N/A,#N/A,FALSE,"AttachC6,pg1";#N/A,#N/A,FALSE,"AttachC6,pg2";#N/A,#N/A,FALSE,"AttachC8";#N/A,#N/A,FALSE,"AttachC9";#N/A,#N/A,FALSE,"AttachC10"}</definedName>
    <definedName name="Attch7" localSheetId="34" hidden="1">{#N/A,#N/A,FALSE,"AttachC2 &amp; 3";#N/A,#N/A,FALSE,"AttachC4";#N/A,#N/A,FALSE,"AttachC5";#N/A,#N/A,FALSE,"AttachC6,pg1";#N/A,#N/A,FALSE,"AttachC6,pg2";#N/A,#N/A,FALSE,"AttachC8";#N/A,#N/A,FALSE,"AttachC9";#N/A,#N/A,FALSE,"AttachC10"}</definedName>
    <definedName name="Attch7" localSheetId="5" hidden="1">{#N/A,#N/A,FALSE,"AttachC2 &amp; 3";#N/A,#N/A,FALSE,"AttachC4";#N/A,#N/A,FALSE,"AttachC5";#N/A,#N/A,FALSE,"AttachC6,pg1";#N/A,#N/A,FALSE,"AttachC6,pg2";#N/A,#N/A,FALSE,"AttachC8";#N/A,#N/A,FALSE,"AttachC9";#N/A,#N/A,FALSE,"AttachC10"}</definedName>
    <definedName name="Attch7" localSheetId="2" hidden="1">{#N/A,#N/A,FALSE,"AttachC2 &amp; 3";#N/A,#N/A,FALSE,"AttachC4";#N/A,#N/A,FALSE,"AttachC5";#N/A,#N/A,FALSE,"AttachC6,pg1";#N/A,#N/A,FALSE,"AttachC6,pg2";#N/A,#N/A,FALSE,"AttachC8";#N/A,#N/A,FALSE,"AttachC9";#N/A,#N/A,FALSE,"AttachC10"}</definedName>
    <definedName name="Attch7" localSheetId="0" hidden="1">{#N/A,#N/A,FALSE,"AttachC2 &amp; 3";#N/A,#N/A,FALSE,"AttachC4";#N/A,#N/A,FALSE,"AttachC5";#N/A,#N/A,FALSE,"AttachC6,pg1";#N/A,#N/A,FALSE,"AttachC6,pg2";#N/A,#N/A,FALSE,"AttachC8";#N/A,#N/A,FALSE,"AttachC9";#N/A,#N/A,FALSE,"AttachC10"}</definedName>
    <definedName name="Attch7" hidden="1">{#N/A,#N/A,FALSE,"AttachC2 &amp; 3";#N/A,#N/A,FALSE,"AttachC4";#N/A,#N/A,FALSE,"AttachC5";#N/A,#N/A,FALSE,"AttachC6,pg1";#N/A,#N/A,FALSE,"AttachC6,pg2";#N/A,#N/A,FALSE,"AttachC8";#N/A,#N/A,FALSE,"AttachC9";#N/A,#N/A,FALSE,"AttachC10"}</definedName>
    <definedName name="BillingPeriods">Attach2B!$G$6</definedName>
    <definedName name="Block1">Attach2A!$D$18</definedName>
    <definedName name="Block2">Attach2A!$D$19</definedName>
    <definedName name="Block3">Attach2A!$D$20</definedName>
    <definedName name="Block4">Attach2A!$D$21</definedName>
    <definedName name="Block5">Attach2A!$D$22</definedName>
    <definedName name="CBRate">Attach2A!$G$9</definedName>
    <definedName name="Class">Data!$H$4</definedName>
    <definedName name="CommMeters" localSheetId="8">Attach2B!$I$13:$I$25</definedName>
    <definedName name="CommMetersTY" localSheetId="11">Attach3B!$I$14:$I$26</definedName>
    <definedName name="CommUnits">Attach2A!$F$28:$F$32</definedName>
    <definedName name="CommUnitsTY">Attach3A!$F$28:$F$32</definedName>
    <definedName name="CommVolRates">Attach3A!$F$18:$F$22</definedName>
    <definedName name="Conservation">Attach17!$I$73</definedName>
    <definedName name="Depreciation1">Attach12!$E$19:$E$24</definedName>
    <definedName name="Depreciation2">Attach12!$E$30:$E$34</definedName>
    <definedName name="Depreciation3">Attach12!$E$40:$E$43</definedName>
    <definedName name="Depreciation4">Attach12!$E$59:$E$65</definedName>
    <definedName name="Depreciation5">Attach12!$E$72:$E$82</definedName>
    <definedName name="IndMeters" localSheetId="8">Attach2B!$J$13:$J$25</definedName>
    <definedName name="IndMetersTY" localSheetId="11">Attach3B!$J$14:$J$26</definedName>
    <definedName name="IndUnits">Attach2A!$G$28:$G$32</definedName>
    <definedName name="IndUnitsTY">Attach3A!$G$28:$G$32</definedName>
    <definedName name="IrrigationRate">Attach17!$F$71</definedName>
    <definedName name="IrrMeters" localSheetId="8">Attach2B!$L$13:$L$25</definedName>
    <definedName name="IrrMetersTY" localSheetId="11">Attach3B!$L$14:$L$26</definedName>
    <definedName name="IrrRates">Attach2A!$I$15</definedName>
    <definedName name="IrrUnits">Attach2A!$I$28:$I$32</definedName>
    <definedName name="IrrUnitsTY">Attach3A!$I$28:$I$32</definedName>
    <definedName name="IrrVolRates">Attach3A!$G$18:$G$22</definedName>
    <definedName name="Measurement">Attach2B!$CV$2</definedName>
    <definedName name="MeterRates">Attach3B!$E$14:$E$26</definedName>
    <definedName name="MFMeters" localSheetId="8">Attach2B!$H$13:$H$25</definedName>
    <definedName name="MFMetersTY" localSheetId="11">Attach3B!$H$14:$H$26</definedName>
    <definedName name="MFRates">Attach2A!$I$14</definedName>
    <definedName name="MFUnits">Attach2A!$E$28:$E$32</definedName>
    <definedName name="MFUnitsTY">Attach3A!$E$28:$E$32</definedName>
    <definedName name="MFVolRates">Attach2A!$H$18:$H$22</definedName>
    <definedName name="MissedAppt">Attach17!$F$41</definedName>
    <definedName name="MuniPFP">Attach5!$F$24:$J$37</definedName>
    <definedName name="NIRB">Attach14!$H$33</definedName>
    <definedName name="NRRates">Attach2A!$F$14</definedName>
    <definedName name="NSF">Attach17!$F$36</definedName>
    <definedName name="OtherFees">Attach17!$F$43</definedName>
    <definedName name="PAMeters" localSheetId="8">Attach2B!$K$13:$K$25</definedName>
    <definedName name="PAMetersTY" localSheetId="11">Attach3B!$K$14:$K$26</definedName>
    <definedName name="PAUnits">Attach2A!$H$28:$H$32</definedName>
    <definedName name="PAUnitsTY">Attach3A!$H$28:$H$32</definedName>
    <definedName name="PFPCharge">Attach17!$C$56</definedName>
    <definedName name="PFPRates">Attach5!$D$54:$D$66</definedName>
    <definedName name="_xlnm.Print_Area" localSheetId="6">Attach1!$A$1:$I$70</definedName>
    <definedName name="_xlnm.Print_Area" localSheetId="19">Attach10_AB!$A$1:$L$113</definedName>
    <definedName name="_xlnm.Print_Area" localSheetId="20">Attach10_C!$A$1:$K$91</definedName>
    <definedName name="_xlnm.Print_Area" localSheetId="21">Attach10_D!$A$1:$M$46</definedName>
    <definedName name="_xlnm.Print_Area" localSheetId="22">Attach11!$A$1:$P$96</definedName>
    <definedName name="_xlnm.Print_Area" localSheetId="23">Attach11a!$A$1:$O$97</definedName>
    <definedName name="_xlnm.Print_Area" localSheetId="24">Attach12!$A$1:$P$103</definedName>
    <definedName name="_xlnm.Print_Area" localSheetId="25">Attach13!$A$1:$N$56</definedName>
    <definedName name="_xlnm.Print_Area" localSheetId="26">Attach14!$A$1:$J$60</definedName>
    <definedName name="_xlnm.Print_Area" localSheetId="27">Attach15!$A$1:$K$78</definedName>
    <definedName name="_xlnm.Print_Area" localSheetId="28">Attach16!$A$1:$K$37</definedName>
    <definedName name="_xlnm.Print_Area" localSheetId="29">Attach17!$A$1:$M$107</definedName>
    <definedName name="_xlnm.Print_Area" localSheetId="30">Attach18!$A$1:$I$45</definedName>
    <definedName name="_xlnm.Print_Area" localSheetId="31">Attach19!$A$1:$L$52</definedName>
    <definedName name="_xlnm.Print_Area" localSheetId="32">Attach20!$A$1:$N$58</definedName>
    <definedName name="_xlnm.Print_Area" localSheetId="33">Attach21!$A$1:$K$61</definedName>
    <definedName name="_xlnm.Print_Area" localSheetId="34">Attach22!$A$1:$N$47</definedName>
    <definedName name="_xlnm.Print_Area" localSheetId="7">Attach2A!$A$1:$M$41</definedName>
    <definedName name="_xlnm.Print_Area" localSheetId="8">Attach2B!$A$1:$O$48</definedName>
    <definedName name="_xlnm.Print_Area" localSheetId="10">Attach3A!$A$1:$M$41</definedName>
    <definedName name="_xlnm.Print_Area" localSheetId="11">Attach3B!$A$1:$O$48</definedName>
    <definedName name="_xlnm.Print_Area" localSheetId="12">Attach3W!$A$1:$M$41</definedName>
    <definedName name="_xlnm.Print_Area" localSheetId="13">Attach4!$A$1:$J$46</definedName>
    <definedName name="_xlnm.Print_Area" localSheetId="14">Attach5!$A$1:$L$78</definedName>
    <definedName name="_xlnm.Print_Area" localSheetId="15">Attach6!$A$1:$J$51</definedName>
    <definedName name="_xlnm.Print_Area" localSheetId="16">Attach7!$A$1:$J$59</definedName>
    <definedName name="_xlnm.Print_Area" localSheetId="17">Attach8!$A$1:$K$43</definedName>
    <definedName name="_xlnm.Print_Area" localSheetId="18">Attach9!$A$1:$J$75</definedName>
    <definedName name="_xlnm.Print_Area" localSheetId="4">'F3024'!$A$1:$D$26</definedName>
    <definedName name="_xlnm.Print_Area" localSheetId="5">Hearing!$A$1:$Q$43</definedName>
    <definedName name="_xlnm.Print_Area" localSheetId="3">Instructions!$A$1:$E$278</definedName>
    <definedName name="PrivateFPMeters">Attach6!$E$12:$E$20</definedName>
    <definedName name="PrivateFPRates">Attach6!$G$12:$G$20</definedName>
    <definedName name="Question2">Attach1!$C$53</definedName>
    <definedName name="RealEstateClosing">Attach17!$F$42</definedName>
    <definedName name="ResMeters" localSheetId="8">Attach2B!$G$13:$G$25</definedName>
    <definedName name="ResMetersTY" localSheetId="11">Attach3B!$G$14:$G$26</definedName>
    <definedName name="ResUnits">Attach2A!$D$28:$D$32</definedName>
    <definedName name="ResUnitsTY">Attach3A!$D$28:$D$32</definedName>
    <definedName name="SpecialBilling">Attach17!$F$39</definedName>
    <definedName name="SpecialMeterReading">Attach17!$F$40</definedName>
    <definedName name="TestYear">Data!$H$3</definedName>
    <definedName name="TestYearMatSup">Attach13!$L$30</definedName>
    <definedName name="TestYearTotalPlant">Attach11!$N$87</definedName>
    <definedName name="TestYearTotDep">Attach13!$L$20</definedName>
    <definedName name="TestYearTotRegLiability">Attach13!$L$37</definedName>
    <definedName name="TransmissionDist" localSheetId="22">Attach11!$D$59:$D$66,Attach11!$E$59:$F$66,Attach11!$I$59:$L$66</definedName>
    <definedName name="UtilID">Data!$H$2</definedName>
    <definedName name="Utility">MainMenu!$E$5</definedName>
    <definedName name="VolumeRates">Attach3A!$E$18:$E$22</definedName>
    <definedName name="WaterService">Attach17!$C$27</definedName>
    <definedName name="WholesaleTY">Attach3W!$F$21:$K$37</definedName>
    <definedName name="wrn.Class._.C._.Example._.Attachments." localSheetId="19" hidden="1">{#N/A,#N/A,FALSE,"AttachC2 &amp; 3";#N/A,#N/A,FALSE,"AttachC4";#N/A,#N/A,FALSE,"AttachC5";#N/A,#N/A,FALSE,"AttachC6,pg1";#N/A,#N/A,FALSE,"AttachC6,pg2";#N/A,#N/A,FALSE,"AttachC8";#N/A,#N/A,FALSE,"AttachC9";#N/A,#N/A,FALSE,"AttachC10"}</definedName>
    <definedName name="wrn.Class._.C._.Example._.Attachments." localSheetId="20" hidden="1">{#N/A,#N/A,FALSE,"AttachC2 &amp; 3";#N/A,#N/A,FALSE,"AttachC4";#N/A,#N/A,FALSE,"AttachC5";#N/A,#N/A,FALSE,"AttachC6,pg1";#N/A,#N/A,FALSE,"AttachC6,pg2";#N/A,#N/A,FALSE,"AttachC8";#N/A,#N/A,FALSE,"AttachC9";#N/A,#N/A,FALSE,"AttachC10"}</definedName>
    <definedName name="wrn.Class._.C._.Example._.Attachments." localSheetId="21" hidden="1">{#N/A,#N/A,FALSE,"AttachC2 &amp; 3";#N/A,#N/A,FALSE,"AttachC4";#N/A,#N/A,FALSE,"AttachC5";#N/A,#N/A,FALSE,"AttachC6,pg1";#N/A,#N/A,FALSE,"AttachC6,pg2";#N/A,#N/A,FALSE,"AttachC8";#N/A,#N/A,FALSE,"AttachC9";#N/A,#N/A,FALSE,"AttachC10"}</definedName>
    <definedName name="wrn.Class._.C._.Example._.Attachments." localSheetId="24" hidden="1">{#N/A,#N/A,FALSE,"AttachC2 &amp; 3";#N/A,#N/A,FALSE,"AttachC4";#N/A,#N/A,FALSE,"AttachC5";#N/A,#N/A,FALSE,"AttachC6,pg1";#N/A,#N/A,FALSE,"AttachC6,pg2";#N/A,#N/A,FALSE,"AttachC8";#N/A,#N/A,FALSE,"AttachC9";#N/A,#N/A,FALSE,"AttachC10"}</definedName>
    <definedName name="wrn.Class._.C._.Example._.Attachments." localSheetId="27" hidden="1">{#N/A,#N/A,FALSE,"AttachC2 &amp; 3";#N/A,#N/A,FALSE,"AttachC4";#N/A,#N/A,FALSE,"AttachC5";#N/A,#N/A,FALSE,"AttachC6,pg1";#N/A,#N/A,FALSE,"AttachC6,pg2";#N/A,#N/A,FALSE,"AttachC8";#N/A,#N/A,FALSE,"AttachC9";#N/A,#N/A,FALSE,"AttachC10"}</definedName>
    <definedName name="wrn.Class._.C._.Example._.Attachments." localSheetId="29" hidden="1">{#N/A,#N/A,FALSE,"AttachC2 &amp; 3";#N/A,#N/A,FALSE,"AttachC4";#N/A,#N/A,FALSE,"AttachC5";#N/A,#N/A,FALSE,"AttachC6,pg1";#N/A,#N/A,FALSE,"AttachC6,pg2";#N/A,#N/A,FALSE,"AttachC8";#N/A,#N/A,FALSE,"AttachC9";#N/A,#N/A,FALSE,"AttachC10"}</definedName>
    <definedName name="wrn.Class._.C._.Example._.Attachments." localSheetId="31" hidden="1">{#N/A,#N/A,FALSE,"AttachC2 &amp; 3";#N/A,#N/A,FALSE,"AttachC4";#N/A,#N/A,FALSE,"AttachC5";#N/A,#N/A,FALSE,"AttachC6,pg1";#N/A,#N/A,FALSE,"AttachC6,pg2";#N/A,#N/A,FALSE,"AttachC8";#N/A,#N/A,FALSE,"AttachC9";#N/A,#N/A,FALSE,"AttachC10"}</definedName>
    <definedName name="wrn.Class._.C._.Example._.Attachments." localSheetId="32" hidden="1">{#N/A,#N/A,FALSE,"AttachC2 &amp; 3";#N/A,#N/A,FALSE,"AttachC4";#N/A,#N/A,FALSE,"AttachC5";#N/A,#N/A,FALSE,"AttachC6,pg1";#N/A,#N/A,FALSE,"AttachC6,pg2";#N/A,#N/A,FALSE,"AttachC8";#N/A,#N/A,FALSE,"AttachC9";#N/A,#N/A,FALSE,"AttachC10"}</definedName>
    <definedName name="wrn.Class._.C._.Example._.Attachments." localSheetId="33" hidden="1">{#N/A,#N/A,FALSE,"AttachC2 &amp; 3";#N/A,#N/A,FALSE,"AttachC4";#N/A,#N/A,FALSE,"AttachC5";#N/A,#N/A,FALSE,"AttachC6,pg1";#N/A,#N/A,FALSE,"AttachC6,pg2";#N/A,#N/A,FALSE,"AttachC8";#N/A,#N/A,FALSE,"AttachC9";#N/A,#N/A,FALSE,"AttachC10"}</definedName>
    <definedName name="wrn.Class._.C._.Example._.Attachments." localSheetId="34" hidden="1">{#N/A,#N/A,FALSE,"AttachC2 &amp; 3";#N/A,#N/A,FALSE,"AttachC4";#N/A,#N/A,FALSE,"AttachC5";#N/A,#N/A,FALSE,"AttachC6,pg1";#N/A,#N/A,FALSE,"AttachC6,pg2";#N/A,#N/A,FALSE,"AttachC8";#N/A,#N/A,FALSE,"AttachC9";#N/A,#N/A,FALSE,"AttachC10"}</definedName>
    <definedName name="wrn.Class._.C._.Example._.Attachments." localSheetId="8" hidden="1">{#N/A,#N/A,FALSE,"AttachC2 &amp; 3";#N/A,#N/A,FALSE,"AttachC4";#N/A,#N/A,FALSE,"AttachC5";#N/A,#N/A,FALSE,"AttachC6,pg1";#N/A,#N/A,FALSE,"AttachC6,pg2";#N/A,#N/A,FALSE,"AttachC8";#N/A,#N/A,FALSE,"AttachC9";#N/A,#N/A,FALSE,"AttachC10"}</definedName>
    <definedName name="wrn.Class._.C._.Example._.Attachments." localSheetId="11" hidden="1">{#N/A,#N/A,FALSE,"AttachC2 &amp; 3";#N/A,#N/A,FALSE,"AttachC4";#N/A,#N/A,FALSE,"AttachC5";#N/A,#N/A,FALSE,"AttachC6,pg1";#N/A,#N/A,FALSE,"AttachC6,pg2";#N/A,#N/A,FALSE,"AttachC8";#N/A,#N/A,FALSE,"AttachC9";#N/A,#N/A,FALSE,"AttachC10"}</definedName>
    <definedName name="wrn.Class._.C._.Example._.Attachments." localSheetId="18" hidden="1">{#N/A,#N/A,FALSE,"AttachC2 &amp; 3";#N/A,#N/A,FALSE,"AttachC4";#N/A,#N/A,FALSE,"AttachC5";#N/A,#N/A,FALSE,"AttachC6,pg1";#N/A,#N/A,FALSE,"AttachC6,pg2";#N/A,#N/A,FALSE,"AttachC8";#N/A,#N/A,FALSE,"AttachC9";#N/A,#N/A,FALSE,"AttachC10"}</definedName>
    <definedName name="wrn.Class._.C._.Example._.Attachments." localSheetId="5" hidden="1">{#N/A,#N/A,FALSE,"AttachC2 &amp; 3";#N/A,#N/A,FALSE,"AttachC4";#N/A,#N/A,FALSE,"AttachC5";#N/A,#N/A,FALSE,"AttachC6,pg1";#N/A,#N/A,FALSE,"AttachC6,pg2";#N/A,#N/A,FALSE,"AttachC8";#N/A,#N/A,FALSE,"AttachC9";#N/A,#N/A,FALSE,"AttachC10"}</definedName>
    <definedName name="wrn.Class._.C._.Example._.Attachments." localSheetId="2" hidden="1">{#N/A,#N/A,FALSE,"AttachC2 &amp; 3";#N/A,#N/A,FALSE,"AttachC4";#N/A,#N/A,FALSE,"AttachC5";#N/A,#N/A,FALSE,"AttachC6,pg1";#N/A,#N/A,FALSE,"AttachC6,pg2";#N/A,#N/A,FALSE,"AttachC8";#N/A,#N/A,FALSE,"AttachC9";#N/A,#N/A,FALSE,"AttachC10"}</definedName>
    <definedName name="wrn.Class._.C._.Example._.Attachments." localSheetId="0" hidden="1">{#N/A,#N/A,FALSE,"AttachC2 &amp; 3";#N/A,#N/A,FALSE,"AttachC4";#N/A,#N/A,FALSE,"AttachC5";#N/A,#N/A,FALSE,"AttachC6,pg1";#N/A,#N/A,FALSE,"AttachC6,pg2";#N/A,#N/A,FALSE,"AttachC8";#N/A,#N/A,FALSE,"AttachC9";#N/A,#N/A,FALSE,"AttachC10"}</definedName>
    <definedName name="wrn.Class._.C._.Example._.Attachments." hidden="1">{#N/A,#N/A,FALSE,"AttachC2 &amp; 3";#N/A,#N/A,FALSE,"AttachC4";#N/A,#N/A,FALSE,"AttachC5";#N/A,#N/A,FALSE,"AttachC6,pg1";#N/A,#N/A,FALSE,"AttachC6,pg2";#N/A,#N/A,FALSE,"AttachC8";#N/A,#N/A,FALSE,"AttachC9";#N/A,#N/A,FALSE,"AttachC10"}</definedName>
    <definedName name="wrn.Class._.D._.Attachment._.Examples." localSheetId="19" hidden="1">{#N/A,#N/A,FALSE,"AttachD2 &amp; 3";#N/A,#N/A,FALSE,"AttachD4";#N/A,#N/A,FALSE,"AttachD5";#N/A,#N/A,FALSE,"AttachD6,pg1";#N/A,#N/A,FALSE,"AttachD6,pg2";#N/A,#N/A,FALSE,"AttachD7";#N/A,#N/A,FALSE,"AttachD8";#N/A,#N/A,FALSE,"AttachD9";#N/A,#N/A,FALSE,"AttachD10"}</definedName>
    <definedName name="wrn.Class._.D._.Attachment._.Examples." localSheetId="20" hidden="1">{#N/A,#N/A,FALSE,"AttachD2 &amp; 3";#N/A,#N/A,FALSE,"AttachD4";#N/A,#N/A,FALSE,"AttachD5";#N/A,#N/A,FALSE,"AttachD6,pg1";#N/A,#N/A,FALSE,"AttachD6,pg2";#N/A,#N/A,FALSE,"AttachD7";#N/A,#N/A,FALSE,"AttachD8";#N/A,#N/A,FALSE,"AttachD9";#N/A,#N/A,FALSE,"AttachD10"}</definedName>
    <definedName name="wrn.Class._.D._.Attachment._.Examples." localSheetId="21" hidden="1">{#N/A,#N/A,FALSE,"AttachD2 &amp; 3";#N/A,#N/A,FALSE,"AttachD4";#N/A,#N/A,FALSE,"AttachD5";#N/A,#N/A,FALSE,"AttachD6,pg1";#N/A,#N/A,FALSE,"AttachD6,pg2";#N/A,#N/A,FALSE,"AttachD7";#N/A,#N/A,FALSE,"AttachD8";#N/A,#N/A,FALSE,"AttachD9";#N/A,#N/A,FALSE,"AttachD10"}</definedName>
    <definedName name="wrn.Class._.D._.Attachment._.Examples." localSheetId="27" hidden="1">{#N/A,#N/A,FALSE,"AttachD2 &amp; 3";#N/A,#N/A,FALSE,"AttachD4";#N/A,#N/A,FALSE,"AttachD5";#N/A,#N/A,FALSE,"AttachD6,pg1";#N/A,#N/A,FALSE,"AttachD6,pg2";#N/A,#N/A,FALSE,"AttachD7";#N/A,#N/A,FALSE,"AttachD8";#N/A,#N/A,FALSE,"AttachD9";#N/A,#N/A,FALSE,"AttachD10"}</definedName>
    <definedName name="wrn.Class._.D._.Attachment._.Examples." localSheetId="29" hidden="1">{#N/A,#N/A,FALSE,"AttachD2 &amp; 3";#N/A,#N/A,FALSE,"AttachD4";#N/A,#N/A,FALSE,"AttachD5";#N/A,#N/A,FALSE,"AttachD6,pg1";#N/A,#N/A,FALSE,"AttachD6,pg2";#N/A,#N/A,FALSE,"AttachD7";#N/A,#N/A,FALSE,"AttachD8";#N/A,#N/A,FALSE,"AttachD9";#N/A,#N/A,FALSE,"AttachD10"}</definedName>
    <definedName name="wrn.Class._.D._.Attachment._.Examples." localSheetId="31" hidden="1">{#N/A,#N/A,FALSE,"AttachD2 &amp; 3";#N/A,#N/A,FALSE,"AttachD4";#N/A,#N/A,FALSE,"AttachD5";#N/A,#N/A,FALSE,"AttachD6,pg1";#N/A,#N/A,FALSE,"AttachD6,pg2";#N/A,#N/A,FALSE,"AttachD7";#N/A,#N/A,FALSE,"AttachD8";#N/A,#N/A,FALSE,"AttachD9";#N/A,#N/A,FALSE,"AttachD10"}</definedName>
    <definedName name="wrn.Class._.D._.Attachment._.Examples." localSheetId="32" hidden="1">{#N/A,#N/A,FALSE,"AttachD2 &amp; 3";#N/A,#N/A,FALSE,"AttachD4";#N/A,#N/A,FALSE,"AttachD5";#N/A,#N/A,FALSE,"AttachD6,pg1";#N/A,#N/A,FALSE,"AttachD6,pg2";#N/A,#N/A,FALSE,"AttachD7";#N/A,#N/A,FALSE,"AttachD8";#N/A,#N/A,FALSE,"AttachD9";#N/A,#N/A,FALSE,"AttachD10"}</definedName>
    <definedName name="wrn.Class._.D._.Attachment._.Examples." localSheetId="33" hidden="1">{#N/A,#N/A,FALSE,"AttachD2 &amp; 3";#N/A,#N/A,FALSE,"AttachD4";#N/A,#N/A,FALSE,"AttachD5";#N/A,#N/A,FALSE,"AttachD6,pg1";#N/A,#N/A,FALSE,"AttachD6,pg2";#N/A,#N/A,FALSE,"AttachD7";#N/A,#N/A,FALSE,"AttachD8";#N/A,#N/A,FALSE,"AttachD9";#N/A,#N/A,FALSE,"AttachD10"}</definedName>
    <definedName name="wrn.Class._.D._.Attachment._.Examples." localSheetId="34" hidden="1">{#N/A,#N/A,FALSE,"AttachD2 &amp; 3";#N/A,#N/A,FALSE,"AttachD4";#N/A,#N/A,FALSE,"AttachD5";#N/A,#N/A,FALSE,"AttachD6,pg1";#N/A,#N/A,FALSE,"AttachD6,pg2";#N/A,#N/A,FALSE,"AttachD7";#N/A,#N/A,FALSE,"AttachD8";#N/A,#N/A,FALSE,"AttachD9";#N/A,#N/A,FALSE,"AttachD10"}</definedName>
    <definedName name="wrn.Class._.D._.Attachment._.Examples." localSheetId="18" hidden="1">{#N/A,#N/A,FALSE,"AttachD2 &amp; 3";#N/A,#N/A,FALSE,"AttachD4";#N/A,#N/A,FALSE,"AttachD5";#N/A,#N/A,FALSE,"AttachD6,pg1";#N/A,#N/A,FALSE,"AttachD6,pg2";#N/A,#N/A,FALSE,"AttachD7";#N/A,#N/A,FALSE,"AttachD8";#N/A,#N/A,FALSE,"AttachD9";#N/A,#N/A,FALSE,"AttachD10"}</definedName>
    <definedName name="wrn.Class._.D._.Attachment._.Examples." localSheetId="5" hidden="1">{#N/A,#N/A,FALSE,"AttachD2 &amp; 3";#N/A,#N/A,FALSE,"AttachD4";#N/A,#N/A,FALSE,"AttachD5";#N/A,#N/A,FALSE,"AttachD6,pg1";#N/A,#N/A,FALSE,"AttachD6,pg2";#N/A,#N/A,FALSE,"AttachD7";#N/A,#N/A,FALSE,"AttachD8";#N/A,#N/A,FALSE,"AttachD9";#N/A,#N/A,FALSE,"AttachD10"}</definedName>
    <definedName name="wrn.Class._.D._.Attachment._.Examples." localSheetId="2" hidden="1">{#N/A,#N/A,FALSE,"AttachD2 &amp; 3";#N/A,#N/A,FALSE,"AttachD4";#N/A,#N/A,FALSE,"AttachD5";#N/A,#N/A,FALSE,"AttachD6,pg1";#N/A,#N/A,FALSE,"AttachD6,pg2";#N/A,#N/A,FALSE,"AttachD7";#N/A,#N/A,FALSE,"AttachD8";#N/A,#N/A,FALSE,"AttachD9";#N/A,#N/A,FALSE,"AttachD10"}</definedName>
    <definedName name="wrn.Class._.D._.Attachment._.Examples." localSheetId="0" hidden="1">{#N/A,#N/A,FALSE,"AttachD2 &amp; 3";#N/A,#N/A,FALSE,"AttachD4";#N/A,#N/A,FALSE,"AttachD5";#N/A,#N/A,FALSE,"AttachD6,pg1";#N/A,#N/A,FALSE,"AttachD6,pg2";#N/A,#N/A,FALSE,"AttachD7";#N/A,#N/A,FALSE,"AttachD8";#N/A,#N/A,FALSE,"AttachD9";#N/A,#N/A,FALSE,"AttachD10"}</definedName>
    <definedName name="wrn.Class._.D._.Attachment._.Examples." hidden="1">{#N/A,#N/A,FALSE,"AttachD2 &amp; 3";#N/A,#N/A,FALSE,"AttachD4";#N/A,#N/A,FALSE,"AttachD5";#N/A,#N/A,FALSE,"AttachD6,pg1";#N/A,#N/A,FALSE,"AttachD6,pg2";#N/A,#N/A,FALSE,"AttachD7";#N/A,#N/A,FALSE,"AttachD8";#N/A,#N/A,FALSE,"AttachD9";#N/A,#N/A,FALSE,"AttachD10"}</definedName>
  </definedNames>
  <calcPr calcId="125725"/>
</workbook>
</file>

<file path=xl/calcChain.xml><?xml version="1.0" encoding="utf-8"?>
<calcChain xmlns="http://schemas.openxmlformats.org/spreadsheetml/2006/main">
  <c r="H18" i="27"/>
  <c r="F18"/>
  <c r="H11"/>
  <c r="C53" i="12"/>
  <c r="C52"/>
  <c r="C56"/>
  <c r="C55"/>
  <c r="C54"/>
  <c r="D53"/>
  <c r="B56"/>
  <c r="B55"/>
  <c r="B54"/>
  <c r="D54"/>
  <c r="B53"/>
  <c r="B52"/>
  <c r="H47" i="18"/>
  <c r="H31" i="20"/>
  <c r="E58" i="27"/>
  <c r="E57"/>
  <c r="E50"/>
  <c r="E49"/>
  <c r="E48"/>
  <c r="E54"/>
  <c r="E53"/>
  <c r="E52"/>
  <c r="E51"/>
  <c r="E47"/>
  <c r="I62"/>
  <c r="H62"/>
  <c r="G58"/>
  <c r="I58"/>
  <c r="I55"/>
  <c r="G55"/>
  <c r="E55"/>
  <c r="H55"/>
  <c r="F55"/>
  <c r="I54"/>
  <c r="G54"/>
  <c r="H54"/>
  <c r="F54"/>
  <c r="D54"/>
  <c r="G53"/>
  <c r="I53"/>
  <c r="H53"/>
  <c r="F53"/>
  <c r="D53"/>
  <c r="I52"/>
  <c r="G52"/>
  <c r="H52"/>
  <c r="F52"/>
  <c r="D52"/>
  <c r="G51"/>
  <c r="I51"/>
  <c r="H51"/>
  <c r="F51"/>
  <c r="D51"/>
  <c r="D50"/>
  <c r="G49"/>
  <c r="I49"/>
  <c r="H49"/>
  <c r="F49"/>
  <c r="D49"/>
  <c r="I48"/>
  <c r="G48"/>
  <c r="H48"/>
  <c r="F48"/>
  <c r="D48"/>
  <c r="G47"/>
  <c r="I47"/>
  <c r="H47"/>
  <c r="F47"/>
  <c r="D47"/>
  <c r="D57"/>
  <c r="L67" i="23"/>
  <c r="L71"/>
  <c r="L89"/>
  <c r="K66"/>
  <c r="K67"/>
  <c r="K68"/>
  <c r="K65"/>
  <c r="H15" i="30"/>
  <c r="G26" i="18"/>
  <c r="G25"/>
  <c r="G22"/>
  <c r="E14" i="17"/>
  <c r="E15"/>
  <c r="K25" i="46"/>
  <c r="K24"/>
  <c r="K23"/>
  <c r="K22"/>
  <c r="K21"/>
  <c r="K20"/>
  <c r="K18"/>
  <c r="K17"/>
  <c r="K15"/>
  <c r="K14"/>
  <c r="K13"/>
  <c r="J23"/>
  <c r="J22"/>
  <c r="J21"/>
  <c r="J20"/>
  <c r="J18"/>
  <c r="J17"/>
  <c r="J15"/>
  <c r="J14"/>
  <c r="J13"/>
  <c r="I23"/>
  <c r="I22"/>
  <c r="I21"/>
  <c r="I20"/>
  <c r="I18"/>
  <c r="I17"/>
  <c r="I15"/>
  <c r="I14"/>
  <c r="I13"/>
  <c r="G15"/>
  <c r="G14"/>
  <c r="G13"/>
  <c r="G16" i="47"/>
  <c r="G15"/>
  <c r="G14"/>
  <c r="K36" i="46"/>
  <c r="J36"/>
  <c r="G36"/>
  <c r="H32" i="49"/>
  <c r="H28"/>
  <c r="J32" i="50"/>
  <c r="K23" i="47"/>
  <c r="K27" i="46"/>
  <c r="M22"/>
  <c r="M17"/>
  <c r="F32" i="49"/>
  <c r="F35"/>
  <c r="I30" i="46"/>
  <c r="F28" i="49"/>
  <c r="F61" i="27"/>
  <c r="N80" i="24"/>
  <c r="E37" i="22"/>
  <c r="F14" i="30"/>
  <c r="I15"/>
  <c r="G15"/>
  <c r="F15"/>
  <c r="I14"/>
  <c r="H14"/>
  <c r="G14"/>
  <c r="H19"/>
  <c r="G19"/>
  <c r="F19"/>
  <c r="I18"/>
  <c r="H18"/>
  <c r="G18"/>
  <c r="F18"/>
  <c r="E76" i="24"/>
  <c r="E78"/>
  <c r="E80"/>
  <c r="H80" s="1"/>
  <c r="E59" i="27"/>
  <c r="G59"/>
  <c r="H58"/>
  <c r="F58"/>
  <c r="F68"/>
  <c r="D58"/>
  <c r="H57"/>
  <c r="G57"/>
  <c r="I57"/>
  <c r="F57"/>
  <c r="G61"/>
  <c r="H61"/>
  <c r="H68"/>
  <c r="H33" i="38"/>
  <c r="H82"/>
  <c r="F68" i="22"/>
  <c r="L14" i="47"/>
  <c r="L15"/>
  <c r="L16"/>
  <c r="H17"/>
  <c r="I17"/>
  <c r="J17"/>
  <c r="K17"/>
  <c r="L17"/>
  <c r="L18"/>
  <c r="L19"/>
  <c r="H20"/>
  <c r="I20"/>
  <c r="J20"/>
  <c r="K20"/>
  <c r="L20"/>
  <c r="L21"/>
  <c r="L22"/>
  <c r="L23"/>
  <c r="H24"/>
  <c r="L24"/>
  <c r="H25"/>
  <c r="I25"/>
  <c r="J25"/>
  <c r="L25"/>
  <c r="H26"/>
  <c r="I26"/>
  <c r="J26"/>
  <c r="L26"/>
  <c r="G17"/>
  <c r="G18"/>
  <c r="G19"/>
  <c r="G20"/>
  <c r="G21"/>
  <c r="G22"/>
  <c r="G23"/>
  <c r="M23" s="1"/>
  <c r="E63" i="16" s="1"/>
  <c r="G24" i="47"/>
  <c r="G25"/>
  <c r="G26"/>
  <c r="E7" i="49"/>
  <c r="C31" i="50"/>
  <c r="C30"/>
  <c r="H15" i="49"/>
  <c r="C31"/>
  <c r="C30"/>
  <c r="C29"/>
  <c r="D22"/>
  <c r="C32"/>
  <c r="D22" i="50"/>
  <c r="C32" s="1"/>
  <c r="G27" i="18"/>
  <c r="E27"/>
  <c r="F27"/>
  <c r="D27"/>
  <c r="E23"/>
  <c r="F23"/>
  <c r="D23"/>
  <c r="G17"/>
  <c r="E17"/>
  <c r="F17"/>
  <c r="D17"/>
  <c r="G13"/>
  <c r="E13"/>
  <c r="F13"/>
  <c r="D13"/>
  <c r="M33" i="47"/>
  <c r="M32" i="46"/>
  <c r="H14" i="50"/>
  <c r="E35" i="49"/>
  <c r="I35"/>
  <c r="L30" i="46"/>
  <c r="H17" i="49"/>
  <c r="G17"/>
  <c r="I14" i="50"/>
  <c r="H21" s="1"/>
  <c r="E14"/>
  <c r="I15"/>
  <c r="G17" s="1"/>
  <c r="H15"/>
  <c r="C13" i="49"/>
  <c r="E14"/>
  <c r="E17"/>
  <c r="H14"/>
  <c r="E17" i="50"/>
  <c r="F8" i="14"/>
  <c r="F23" s="1"/>
  <c r="H8"/>
  <c r="H23" s="1"/>
  <c r="G60" i="30"/>
  <c r="F53" i="10"/>
  <c r="F14" i="50"/>
  <c r="G18"/>
  <c r="G9"/>
  <c r="E19"/>
  <c r="E20"/>
  <c r="E21"/>
  <c r="E22"/>
  <c r="E18"/>
  <c r="D35" s="1"/>
  <c r="D21"/>
  <c r="D20"/>
  <c r="D19"/>
  <c r="C29"/>
  <c r="D18"/>
  <c r="I34"/>
  <c r="H34"/>
  <c r="F34"/>
  <c r="E34"/>
  <c r="D34"/>
  <c r="J31"/>
  <c r="J30"/>
  <c r="J29"/>
  <c r="C22"/>
  <c r="C21"/>
  <c r="C20"/>
  <c r="C19"/>
  <c r="C18"/>
  <c r="D17"/>
  <c r="C11"/>
  <c r="B1"/>
  <c r="L6" i="46"/>
  <c r="C28" i="49"/>
  <c r="G35"/>
  <c r="H35"/>
  <c r="K30" i="46"/>
  <c r="D35" i="49"/>
  <c r="G30" i="46"/>
  <c r="D34" i="49"/>
  <c r="E34"/>
  <c r="F34"/>
  <c r="G34"/>
  <c r="H34"/>
  <c r="I34"/>
  <c r="F17"/>
  <c r="D17"/>
  <c r="C22"/>
  <c r="C21"/>
  <c r="C20"/>
  <c r="C19"/>
  <c r="C18"/>
  <c r="J32"/>
  <c r="J34"/>
  <c r="J31"/>
  <c r="J30"/>
  <c r="J29"/>
  <c r="J28"/>
  <c r="B1"/>
  <c r="G8" i="18"/>
  <c r="G24" i="20"/>
  <c r="G45" s="1"/>
  <c r="G9" i="21"/>
  <c r="J9" s="1"/>
  <c r="D19"/>
  <c r="D27"/>
  <c r="D28"/>
  <c r="D29"/>
  <c r="D21"/>
  <c r="H25" i="27"/>
  <c r="B51" i="24"/>
  <c r="P49"/>
  <c r="B4"/>
  <c r="E8" i="23"/>
  <c r="E56" s="1"/>
  <c r="B6" i="19"/>
  <c r="B6" i="18"/>
  <c r="B1" i="16"/>
  <c r="F21"/>
  <c r="E47" i="47"/>
  <c r="E15"/>
  <c r="G27" i="17"/>
  <c r="E16" i="47"/>
  <c r="G28" i="17" s="1"/>
  <c r="E17" i="47"/>
  <c r="G29" i="17" s="1"/>
  <c r="E18" i="47"/>
  <c r="G30" i="17" s="1"/>
  <c r="E19" i="47"/>
  <c r="G31" i="17" s="1"/>
  <c r="E20" i="47"/>
  <c r="G32" i="17" s="1"/>
  <c r="E21" i="47"/>
  <c r="G33" i="17" s="1"/>
  <c r="E22" i="47"/>
  <c r="G34" i="17" s="1"/>
  <c r="E23" i="47"/>
  <c r="G35" i="17"/>
  <c r="E24" i="47"/>
  <c r="G36" i="17"/>
  <c r="E25" i="47"/>
  <c r="E26"/>
  <c r="E14"/>
  <c r="H29" s="1"/>
  <c r="L28"/>
  <c r="M25"/>
  <c r="E65" i="16" s="1"/>
  <c r="M20" i="47"/>
  <c r="E60" i="16" s="1"/>
  <c r="M17" i="47"/>
  <c r="E57" i="16" s="1"/>
  <c r="G57" s="1"/>
  <c r="CV2" i="47"/>
  <c r="B1"/>
  <c r="H27" i="46"/>
  <c r="J27"/>
  <c r="L27"/>
  <c r="G27"/>
  <c r="M25"/>
  <c r="M24"/>
  <c r="M23"/>
  <c r="M21"/>
  <c r="M19"/>
  <c r="M18"/>
  <c r="M16"/>
  <c r="M14"/>
  <c r="M13"/>
  <c r="CV2"/>
  <c r="J12" i="14" s="1"/>
  <c r="B1" i="46"/>
  <c r="E14" i="30"/>
  <c r="E15"/>
  <c r="E16"/>
  <c r="E18"/>
  <c r="E19"/>
  <c r="E20"/>
  <c r="C59"/>
  <c r="F56"/>
  <c r="F57"/>
  <c r="D38"/>
  <c r="H43"/>
  <c r="H42"/>
  <c r="J41"/>
  <c r="H41"/>
  <c r="H40"/>
  <c r="H39"/>
  <c r="D37"/>
  <c r="H36"/>
  <c r="E29"/>
  <c r="H23" i="41"/>
  <c r="E23" s="1"/>
  <c r="C5" i="36"/>
  <c r="C2"/>
  <c r="C52" i="35"/>
  <c r="C21"/>
  <c r="C4"/>
  <c r="C2"/>
  <c r="C6" i="34"/>
  <c r="C3"/>
  <c r="C3" i="33"/>
  <c r="B5" i="32"/>
  <c r="C5" i="30"/>
  <c r="H40" i="27"/>
  <c r="F40"/>
  <c r="D40"/>
  <c r="H9"/>
  <c r="F9"/>
  <c r="C51" i="26"/>
  <c r="C17"/>
  <c r="C5"/>
  <c r="C50" i="25"/>
  <c r="C44"/>
  <c r="C41"/>
  <c r="D36"/>
  <c r="D35"/>
  <c r="D34"/>
  <c r="D29"/>
  <c r="D28"/>
  <c r="D27"/>
  <c r="D26"/>
  <c r="D25"/>
  <c r="C19"/>
  <c r="C14"/>
  <c r="C8"/>
  <c r="G5"/>
  <c r="J10" i="24"/>
  <c r="J53" s="1"/>
  <c r="E10"/>
  <c r="E53"/>
  <c r="C7"/>
  <c r="C6"/>
  <c r="M9" i="23"/>
  <c r="M58" s="1"/>
  <c r="H9"/>
  <c r="H58" s="1"/>
  <c r="D9"/>
  <c r="D58"/>
  <c r="I7"/>
  <c r="I56" s="1"/>
  <c r="D3"/>
  <c r="D52" s="1"/>
  <c r="M9" i="22"/>
  <c r="M57" s="1"/>
  <c r="H9"/>
  <c r="H56" s="1"/>
  <c r="D9"/>
  <c r="D57" s="1"/>
  <c r="I7"/>
  <c r="I54" s="1"/>
  <c r="E7"/>
  <c r="E54" s="1"/>
  <c r="C36" i="40"/>
  <c r="K9"/>
  <c r="J9"/>
  <c r="H9"/>
  <c r="G9"/>
  <c r="F9"/>
  <c r="E9"/>
  <c r="D9"/>
  <c r="D5"/>
  <c r="C86" i="21"/>
  <c r="K10"/>
  <c r="K57" s="1"/>
  <c r="J10"/>
  <c r="J57" s="1"/>
  <c r="H10"/>
  <c r="H57" s="1"/>
  <c r="G10"/>
  <c r="G57" s="1"/>
  <c r="F10"/>
  <c r="F57" s="1"/>
  <c r="E10"/>
  <c r="E57" s="1"/>
  <c r="D10"/>
  <c r="D57" s="1"/>
  <c r="D6"/>
  <c r="D53" s="1"/>
  <c r="C109" i="38"/>
  <c r="D58"/>
  <c r="C51"/>
  <c r="D5"/>
  <c r="B10" i="20"/>
  <c r="B9"/>
  <c r="I17" i="19"/>
  <c r="H17"/>
  <c r="G17"/>
  <c r="F17"/>
  <c r="C11"/>
  <c r="C10"/>
  <c r="C56" i="18"/>
  <c r="C55"/>
  <c r="C54"/>
  <c r="H9"/>
  <c r="G9"/>
  <c r="F9"/>
  <c r="E9"/>
  <c r="D9"/>
  <c r="B6" i="17"/>
  <c r="C30" i="16"/>
  <c r="C29"/>
  <c r="C28"/>
  <c r="C26"/>
  <c r="C6"/>
  <c r="D6" i="15"/>
  <c r="C2" i="14"/>
  <c r="A2" i="12"/>
  <c r="B6" i="20"/>
  <c r="H25"/>
  <c r="H46" s="1"/>
  <c r="G25"/>
  <c r="G46" s="1"/>
  <c r="F25"/>
  <c r="F46" s="1"/>
  <c r="E25"/>
  <c r="E46" s="1"/>
  <c r="D4" i="41"/>
  <c r="E6"/>
  <c r="E5"/>
  <c r="C1" i="14" s="1"/>
  <c r="D49" i="12"/>
  <c r="D48"/>
  <c r="D47"/>
  <c r="D46"/>
  <c r="D45"/>
  <c r="D44"/>
  <c r="D31"/>
  <c r="D30"/>
  <c r="D29"/>
  <c r="D28"/>
  <c r="D27"/>
  <c r="D26"/>
  <c r="G6" i="46"/>
  <c r="E56" i="10"/>
  <c r="F8" i="38"/>
  <c r="F61" s="1"/>
  <c r="E8"/>
  <c r="D8"/>
  <c r="D61" s="1"/>
  <c r="K8"/>
  <c r="K61"/>
  <c r="J8"/>
  <c r="J61"/>
  <c r="H8"/>
  <c r="H61"/>
  <c r="G8"/>
  <c r="G61" s="1"/>
  <c r="D52" i="22"/>
  <c r="D5"/>
  <c r="D5" i="7"/>
  <c r="G29" i="40"/>
  <c r="F29"/>
  <c r="E29"/>
  <c r="D29"/>
  <c r="G28"/>
  <c r="F28"/>
  <c r="E28"/>
  <c r="D28"/>
  <c r="G27"/>
  <c r="F27"/>
  <c r="E27"/>
  <c r="D27"/>
  <c r="G26"/>
  <c r="F26"/>
  <c r="E26"/>
  <c r="D26"/>
  <c r="G25"/>
  <c r="F25"/>
  <c r="E25"/>
  <c r="D25"/>
  <c r="G24"/>
  <c r="F24"/>
  <c r="E24"/>
  <c r="D24"/>
  <c r="G23"/>
  <c r="F23"/>
  <c r="E23"/>
  <c r="D23"/>
  <c r="G22"/>
  <c r="F22"/>
  <c r="E22"/>
  <c r="D22"/>
  <c r="G21"/>
  <c r="F21"/>
  <c r="E21"/>
  <c r="D21"/>
  <c r="G17"/>
  <c r="F17"/>
  <c r="E17"/>
  <c r="D17"/>
  <c r="G16"/>
  <c r="F16"/>
  <c r="E16"/>
  <c r="D16"/>
  <c r="G15"/>
  <c r="F15"/>
  <c r="I15"/>
  <c r="K15" s="1"/>
  <c r="E15"/>
  <c r="D15"/>
  <c r="G14"/>
  <c r="F14"/>
  <c r="E14"/>
  <c r="D14"/>
  <c r="G13"/>
  <c r="F13"/>
  <c r="E13"/>
  <c r="D13"/>
  <c r="G12"/>
  <c r="F12"/>
  <c r="E12"/>
  <c r="D12"/>
  <c r="G11"/>
  <c r="F11"/>
  <c r="E11"/>
  <c r="D11"/>
  <c r="G8"/>
  <c r="J8"/>
  <c r="I8"/>
  <c r="B1"/>
  <c r="H31"/>
  <c r="H19"/>
  <c r="F103" i="38"/>
  <c r="E103"/>
  <c r="D103"/>
  <c r="G103" s="1"/>
  <c r="F102"/>
  <c r="E102"/>
  <c r="D102"/>
  <c r="F101"/>
  <c r="E101"/>
  <c r="I101" s="1"/>
  <c r="D101"/>
  <c r="F100"/>
  <c r="E100"/>
  <c r="D100"/>
  <c r="G100" s="1"/>
  <c r="H100" s="1"/>
  <c r="F99"/>
  <c r="E99"/>
  <c r="D99"/>
  <c r="F98"/>
  <c r="E98"/>
  <c r="D98"/>
  <c r="I98" s="1"/>
  <c r="F97"/>
  <c r="E97"/>
  <c r="D97"/>
  <c r="F96"/>
  <c r="E96"/>
  <c r="D96"/>
  <c r="F95"/>
  <c r="E95"/>
  <c r="D95"/>
  <c r="I95" s="1"/>
  <c r="F94"/>
  <c r="E94"/>
  <c r="D94"/>
  <c r="F93"/>
  <c r="E93"/>
  <c r="D93"/>
  <c r="F92"/>
  <c r="E92"/>
  <c r="D92"/>
  <c r="G90"/>
  <c r="K90" s="1"/>
  <c r="F90"/>
  <c r="I90" s="1"/>
  <c r="J90" s="1"/>
  <c r="E90"/>
  <c r="D90"/>
  <c r="F86"/>
  <c r="E86"/>
  <c r="D86"/>
  <c r="G85"/>
  <c r="F85"/>
  <c r="E85"/>
  <c r="D85"/>
  <c r="G84"/>
  <c r="F84"/>
  <c r="E84"/>
  <c r="I84" s="1"/>
  <c r="D84"/>
  <c r="F83"/>
  <c r="E83"/>
  <c r="I83" s="1"/>
  <c r="D83"/>
  <c r="F82"/>
  <c r="E82"/>
  <c r="D82"/>
  <c r="F81"/>
  <c r="E81"/>
  <c r="D81"/>
  <c r="G81" s="1"/>
  <c r="G77"/>
  <c r="F77"/>
  <c r="E77"/>
  <c r="D77"/>
  <c r="I77" s="1"/>
  <c r="F76"/>
  <c r="E76"/>
  <c r="D76"/>
  <c r="G76" s="1"/>
  <c r="H76" s="1"/>
  <c r="F75"/>
  <c r="E75"/>
  <c r="D75"/>
  <c r="G75" s="1"/>
  <c r="H75" s="1"/>
  <c r="F74"/>
  <c r="E74"/>
  <c r="D74"/>
  <c r="F73"/>
  <c r="E73"/>
  <c r="D73"/>
  <c r="F72"/>
  <c r="E72"/>
  <c r="D72"/>
  <c r="G72" s="1"/>
  <c r="F71"/>
  <c r="E71"/>
  <c r="D71"/>
  <c r="F70"/>
  <c r="E70"/>
  <c r="D70"/>
  <c r="I70"/>
  <c r="J70" s="1"/>
  <c r="F69"/>
  <c r="E69"/>
  <c r="D69"/>
  <c r="F68"/>
  <c r="E68"/>
  <c r="D68"/>
  <c r="F67"/>
  <c r="E67"/>
  <c r="D67"/>
  <c r="G67" s="1"/>
  <c r="H67" s="1"/>
  <c r="F66"/>
  <c r="E66"/>
  <c r="D66"/>
  <c r="F65"/>
  <c r="E65"/>
  <c r="D65"/>
  <c r="F64"/>
  <c r="E64"/>
  <c r="D64"/>
  <c r="F63"/>
  <c r="E63"/>
  <c r="D63"/>
  <c r="G63" s="1"/>
  <c r="F47"/>
  <c r="E47"/>
  <c r="D47"/>
  <c r="G47" s="1"/>
  <c r="F46"/>
  <c r="E46"/>
  <c r="D46"/>
  <c r="F45"/>
  <c r="E45"/>
  <c r="D45"/>
  <c r="G45" s="1"/>
  <c r="F44"/>
  <c r="E44"/>
  <c r="D44"/>
  <c r="F43"/>
  <c r="E43"/>
  <c r="D43"/>
  <c r="F42"/>
  <c r="E42"/>
  <c r="D42"/>
  <c r="G42" s="1"/>
  <c r="F41"/>
  <c r="E41"/>
  <c r="D41"/>
  <c r="F40"/>
  <c r="E40"/>
  <c r="D40"/>
  <c r="I40"/>
  <c r="F36"/>
  <c r="E36"/>
  <c r="D36"/>
  <c r="F35"/>
  <c r="E35"/>
  <c r="I35" s="1"/>
  <c r="D35"/>
  <c r="F34"/>
  <c r="E34"/>
  <c r="D34"/>
  <c r="F33"/>
  <c r="E33"/>
  <c r="D33"/>
  <c r="I33" s="1"/>
  <c r="F32"/>
  <c r="E32"/>
  <c r="I32"/>
  <c r="J32" s="1"/>
  <c r="D32"/>
  <c r="F31"/>
  <c r="E31"/>
  <c r="D31"/>
  <c r="I31" s="1"/>
  <c r="F30"/>
  <c r="E30"/>
  <c r="D30"/>
  <c r="F29"/>
  <c r="E29"/>
  <c r="D29"/>
  <c r="G29" s="1"/>
  <c r="H29" s="1"/>
  <c r="F28"/>
  <c r="E28"/>
  <c r="I28"/>
  <c r="J28" s="1"/>
  <c r="D28"/>
  <c r="G27"/>
  <c r="F27"/>
  <c r="E27"/>
  <c r="D27"/>
  <c r="G26"/>
  <c r="F26"/>
  <c r="E26"/>
  <c r="D26"/>
  <c r="F25"/>
  <c r="E25"/>
  <c r="D25"/>
  <c r="G25" s="1"/>
  <c r="F21"/>
  <c r="E21"/>
  <c r="D21"/>
  <c r="G21" s="1"/>
  <c r="H21" s="1"/>
  <c r="G20"/>
  <c r="F20"/>
  <c r="I20" s="1"/>
  <c r="E20"/>
  <c r="D20"/>
  <c r="F19"/>
  <c r="E19"/>
  <c r="D19"/>
  <c r="I19" s="1"/>
  <c r="G18"/>
  <c r="F18"/>
  <c r="E18"/>
  <c r="D18"/>
  <c r="F17"/>
  <c r="E17"/>
  <c r="D17"/>
  <c r="G16"/>
  <c r="F16"/>
  <c r="E16"/>
  <c r="D16"/>
  <c r="F15"/>
  <c r="E15"/>
  <c r="D15"/>
  <c r="G14"/>
  <c r="F14"/>
  <c r="E14"/>
  <c r="D14"/>
  <c r="G13"/>
  <c r="F13"/>
  <c r="E13"/>
  <c r="D13"/>
  <c r="G12"/>
  <c r="F12"/>
  <c r="E12"/>
  <c r="D12"/>
  <c r="G11"/>
  <c r="F11"/>
  <c r="E11"/>
  <c r="D11"/>
  <c r="G10"/>
  <c r="F10"/>
  <c r="E10"/>
  <c r="E23" s="1"/>
  <c r="E107" s="1"/>
  <c r="D10"/>
  <c r="G7"/>
  <c r="G60"/>
  <c r="J60" s="1"/>
  <c r="I7"/>
  <c r="I60" s="1"/>
  <c r="B1"/>
  <c r="B56" s="1"/>
  <c r="E49" i="12"/>
  <c r="E48"/>
  <c r="E47"/>
  <c r="E46"/>
  <c r="E45"/>
  <c r="E31"/>
  <c r="E30"/>
  <c r="E29"/>
  <c r="E35"/>
  <c r="E28"/>
  <c r="E27"/>
  <c r="H19" i="18"/>
  <c r="E56" i="12"/>
  <c r="D56"/>
  <c r="E55"/>
  <c r="E54"/>
  <c r="E53"/>
  <c r="C38"/>
  <c r="B38"/>
  <c r="C37"/>
  <c r="B37"/>
  <c r="D37"/>
  <c r="C36"/>
  <c r="D36"/>
  <c r="B36"/>
  <c r="C35"/>
  <c r="D35"/>
  <c r="B35"/>
  <c r="C34"/>
  <c r="B34"/>
  <c r="A56"/>
  <c r="A38"/>
  <c r="I28"/>
  <c r="I10"/>
  <c r="J10" s="1"/>
  <c r="C8"/>
  <c r="H33" i="40"/>
  <c r="D38" i="12"/>
  <c r="D57" i="38"/>
  <c r="F13" i="22"/>
  <c r="F14"/>
  <c r="F12"/>
  <c r="F8" i="27"/>
  <c r="I34" i="25"/>
  <c r="I35" s="1"/>
  <c r="H32" i="20"/>
  <c r="I27" i="25"/>
  <c r="G32" i="20" s="1"/>
  <c r="I26" i="25"/>
  <c r="F32" i="20" s="1"/>
  <c r="I25" i="25"/>
  <c r="E32" i="20" s="1"/>
  <c r="J12" i="25"/>
  <c r="K12" s="1"/>
  <c r="J10"/>
  <c r="K10" s="1"/>
  <c r="K8"/>
  <c r="F8"/>
  <c r="E82" i="24"/>
  <c r="E81"/>
  <c r="E77"/>
  <c r="E75"/>
  <c r="E74"/>
  <c r="E73"/>
  <c r="E72"/>
  <c r="E65"/>
  <c r="E64"/>
  <c r="E63"/>
  <c r="E62"/>
  <c r="E61"/>
  <c r="E60"/>
  <c r="E59"/>
  <c r="E43"/>
  <c r="E42"/>
  <c r="E41"/>
  <c r="E40"/>
  <c r="E34"/>
  <c r="E33"/>
  <c r="E32"/>
  <c r="E31"/>
  <c r="E30"/>
  <c r="E24"/>
  <c r="E23"/>
  <c r="E22"/>
  <c r="E21"/>
  <c r="E20"/>
  <c r="E19"/>
  <c r="F85" i="23"/>
  <c r="E85"/>
  <c r="D85"/>
  <c r="F84"/>
  <c r="E84"/>
  <c r="D84"/>
  <c r="F83"/>
  <c r="E83"/>
  <c r="D83"/>
  <c r="F82"/>
  <c r="E82"/>
  <c r="D82"/>
  <c r="F81"/>
  <c r="E81"/>
  <c r="D81"/>
  <c r="F80"/>
  <c r="E80"/>
  <c r="D80"/>
  <c r="F79"/>
  <c r="E79"/>
  <c r="D79"/>
  <c r="H79"/>
  <c r="M79" s="1"/>
  <c r="F78"/>
  <c r="E78"/>
  <c r="D78"/>
  <c r="F77"/>
  <c r="E77"/>
  <c r="D77"/>
  <c r="F76"/>
  <c r="E76"/>
  <c r="D76"/>
  <c r="F75"/>
  <c r="E75"/>
  <c r="D75"/>
  <c r="F74"/>
  <c r="E74"/>
  <c r="D74"/>
  <c r="F69"/>
  <c r="E69"/>
  <c r="D69"/>
  <c r="D68"/>
  <c r="D67"/>
  <c r="D66"/>
  <c r="D65"/>
  <c r="F64"/>
  <c r="E64"/>
  <c r="D64"/>
  <c r="F63"/>
  <c r="E63"/>
  <c r="D63"/>
  <c r="F62"/>
  <c r="H62" s="1"/>
  <c r="E62"/>
  <c r="D62"/>
  <c r="F44"/>
  <c r="E44"/>
  <c r="D44"/>
  <c r="H44"/>
  <c r="M44" s="1"/>
  <c r="F43"/>
  <c r="E43"/>
  <c r="D43"/>
  <c r="F42"/>
  <c r="E42"/>
  <c r="D42"/>
  <c r="F41"/>
  <c r="E41"/>
  <c r="D41"/>
  <c r="F40"/>
  <c r="E40"/>
  <c r="D40"/>
  <c r="F35"/>
  <c r="E35"/>
  <c r="D35"/>
  <c r="F34"/>
  <c r="E34"/>
  <c r="D34"/>
  <c r="F33"/>
  <c r="E33"/>
  <c r="D33"/>
  <c r="F32"/>
  <c r="E32"/>
  <c r="D32"/>
  <c r="F31"/>
  <c r="E31"/>
  <c r="D31"/>
  <c r="F30"/>
  <c r="E30"/>
  <c r="D30"/>
  <c r="F25"/>
  <c r="E25"/>
  <c r="D25"/>
  <c r="F24"/>
  <c r="E24"/>
  <c r="D24"/>
  <c r="F23"/>
  <c r="E23"/>
  <c r="D23"/>
  <c r="F22"/>
  <c r="E22"/>
  <c r="D22"/>
  <c r="F21"/>
  <c r="E21"/>
  <c r="D21"/>
  <c r="F20"/>
  <c r="E20"/>
  <c r="D20"/>
  <c r="F19"/>
  <c r="H19" s="1"/>
  <c r="E19"/>
  <c r="D19"/>
  <c r="F14"/>
  <c r="E14"/>
  <c r="D14"/>
  <c r="F13"/>
  <c r="E13"/>
  <c r="D13"/>
  <c r="F12"/>
  <c r="E12"/>
  <c r="D12"/>
  <c r="H7"/>
  <c r="H56" s="1"/>
  <c r="D83" i="22"/>
  <c r="D82"/>
  <c r="D81"/>
  <c r="D80"/>
  <c r="G79" i="24" s="1"/>
  <c r="H79" s="1"/>
  <c r="D79" i="22"/>
  <c r="G78" i="24"/>
  <c r="D78" i="22"/>
  <c r="D77"/>
  <c r="D76"/>
  <c r="D75"/>
  <c r="D85" s="1"/>
  <c r="D74"/>
  <c r="D73"/>
  <c r="H73" s="1"/>
  <c r="D72"/>
  <c r="D66"/>
  <c r="H66" s="1"/>
  <c r="D65"/>
  <c r="H65" s="1"/>
  <c r="D64"/>
  <c r="D63"/>
  <c r="G62" i="24" s="1"/>
  <c r="D62" i="22"/>
  <c r="H62" s="1"/>
  <c r="D61"/>
  <c r="H61" s="1"/>
  <c r="D60"/>
  <c r="D59"/>
  <c r="D44"/>
  <c r="H44" s="1"/>
  <c r="D43"/>
  <c r="D42"/>
  <c r="H42" s="1"/>
  <c r="D41"/>
  <c r="D40"/>
  <c r="D35"/>
  <c r="D34"/>
  <c r="G33" i="24" s="1"/>
  <c r="H33" s="1"/>
  <c r="D33" i="22"/>
  <c r="D32"/>
  <c r="G31" i="24" s="1"/>
  <c r="D31" i="22"/>
  <c r="H31" s="1"/>
  <c r="D30"/>
  <c r="H30" s="1"/>
  <c r="D25"/>
  <c r="G24" i="24" s="1"/>
  <c r="D24" i="22"/>
  <c r="H24" s="1"/>
  <c r="D23"/>
  <c r="D22"/>
  <c r="H22" s="1"/>
  <c r="D21"/>
  <c r="D20"/>
  <c r="D19"/>
  <c r="H19" s="1"/>
  <c r="E14"/>
  <c r="D14"/>
  <c r="D16" s="1"/>
  <c r="E13"/>
  <c r="D13"/>
  <c r="E12"/>
  <c r="D12"/>
  <c r="H7"/>
  <c r="H54"/>
  <c r="G79" i="21"/>
  <c r="F79"/>
  <c r="E79"/>
  <c r="D79"/>
  <c r="G78"/>
  <c r="F78"/>
  <c r="E78"/>
  <c r="D78"/>
  <c r="G77"/>
  <c r="F77"/>
  <c r="E77"/>
  <c r="D77"/>
  <c r="G76"/>
  <c r="F76"/>
  <c r="E76"/>
  <c r="D76"/>
  <c r="G75"/>
  <c r="F75"/>
  <c r="E75"/>
  <c r="D75"/>
  <c r="G74"/>
  <c r="F74"/>
  <c r="E74"/>
  <c r="D74"/>
  <c r="G73"/>
  <c r="F73"/>
  <c r="E73"/>
  <c r="D73"/>
  <c r="G72"/>
  <c r="F72"/>
  <c r="E72"/>
  <c r="D72"/>
  <c r="G71"/>
  <c r="F71"/>
  <c r="E71"/>
  <c r="D71"/>
  <c r="G70"/>
  <c r="F70"/>
  <c r="E70"/>
  <c r="D70"/>
  <c r="G69"/>
  <c r="F69"/>
  <c r="E69"/>
  <c r="D69"/>
  <c r="G67"/>
  <c r="F67"/>
  <c r="E67"/>
  <c r="D67"/>
  <c r="G63"/>
  <c r="F63"/>
  <c r="E63"/>
  <c r="D63"/>
  <c r="G62"/>
  <c r="F62"/>
  <c r="E62"/>
  <c r="D62"/>
  <c r="G61"/>
  <c r="F61"/>
  <c r="E61"/>
  <c r="I61" s="1"/>
  <c r="D61"/>
  <c r="G60"/>
  <c r="F60"/>
  <c r="E60"/>
  <c r="D60"/>
  <c r="I60" s="1"/>
  <c r="G59"/>
  <c r="F59"/>
  <c r="E59"/>
  <c r="D59"/>
  <c r="G41"/>
  <c r="F41"/>
  <c r="E41"/>
  <c r="D41"/>
  <c r="G40"/>
  <c r="F40"/>
  <c r="E40"/>
  <c r="D40"/>
  <c r="G39"/>
  <c r="F39"/>
  <c r="E39"/>
  <c r="I39" s="1"/>
  <c r="D39"/>
  <c r="G38"/>
  <c r="F38"/>
  <c r="E38"/>
  <c r="D38"/>
  <c r="G37"/>
  <c r="F37"/>
  <c r="E37"/>
  <c r="D37"/>
  <c r="G36"/>
  <c r="F36"/>
  <c r="E36"/>
  <c r="D36"/>
  <c r="G35"/>
  <c r="F35"/>
  <c r="E35"/>
  <c r="D35"/>
  <c r="G34"/>
  <c r="G43" s="1"/>
  <c r="F34"/>
  <c r="E34"/>
  <c r="D34"/>
  <c r="G30"/>
  <c r="F30"/>
  <c r="E30"/>
  <c r="D30"/>
  <c r="G29"/>
  <c r="F29"/>
  <c r="E29"/>
  <c r="G28"/>
  <c r="F28"/>
  <c r="E28"/>
  <c r="G27"/>
  <c r="F27"/>
  <c r="E27"/>
  <c r="E32" s="1"/>
  <c r="G23"/>
  <c r="F23"/>
  <c r="E23"/>
  <c r="D23"/>
  <c r="G22"/>
  <c r="F22"/>
  <c r="E22"/>
  <c r="D22"/>
  <c r="G21"/>
  <c r="F21"/>
  <c r="E21"/>
  <c r="G20"/>
  <c r="F20"/>
  <c r="E20"/>
  <c r="D20"/>
  <c r="G19"/>
  <c r="F19"/>
  <c r="E19"/>
  <c r="G15"/>
  <c r="F15"/>
  <c r="E15"/>
  <c r="D15"/>
  <c r="G14"/>
  <c r="F14"/>
  <c r="E14"/>
  <c r="D14"/>
  <c r="I14" s="1"/>
  <c r="G13"/>
  <c r="F13"/>
  <c r="E13"/>
  <c r="D13"/>
  <c r="I13" s="1"/>
  <c r="G12"/>
  <c r="G17" s="1"/>
  <c r="F12"/>
  <c r="E12"/>
  <c r="D12"/>
  <c r="I9"/>
  <c r="I56" s="1"/>
  <c r="F56" i="20"/>
  <c r="G56" s="1"/>
  <c r="H56" s="1"/>
  <c r="E56"/>
  <c r="F54"/>
  <c r="H54" s="1"/>
  <c r="E54"/>
  <c r="F53"/>
  <c r="H53" s="1"/>
  <c r="H63" s="1"/>
  <c r="E53"/>
  <c r="E63" s="1"/>
  <c r="F52"/>
  <c r="G52" s="1"/>
  <c r="E52"/>
  <c r="F51"/>
  <c r="G51" s="1"/>
  <c r="F61"/>
  <c r="E51"/>
  <c r="E61" s="1"/>
  <c r="F50"/>
  <c r="G50" s="1"/>
  <c r="E50"/>
  <c r="E60" s="1"/>
  <c r="F49"/>
  <c r="G49" s="1"/>
  <c r="H49" s="1"/>
  <c r="E49"/>
  <c r="F48"/>
  <c r="G48" s="1"/>
  <c r="F43"/>
  <c r="G20" i="19" s="1"/>
  <c r="G25" s="1"/>
  <c r="G34" s="1"/>
  <c r="E43" i="20"/>
  <c r="F20" i="19" s="1"/>
  <c r="F42" i="20"/>
  <c r="E42"/>
  <c r="F41"/>
  <c r="G41" s="1"/>
  <c r="E41"/>
  <c r="H41"/>
  <c r="H40" i="34" s="1"/>
  <c r="F35" i="20"/>
  <c r="E35"/>
  <c r="F33"/>
  <c r="E33"/>
  <c r="F27"/>
  <c r="E27"/>
  <c r="G29" i="19"/>
  <c r="F29"/>
  <c r="G27"/>
  <c r="F27"/>
  <c r="G23"/>
  <c r="F23"/>
  <c r="H16"/>
  <c r="F45" i="18"/>
  <c r="E45"/>
  <c r="D45"/>
  <c r="G44"/>
  <c r="F44"/>
  <c r="E44"/>
  <c r="D44"/>
  <c r="G47"/>
  <c r="F43"/>
  <c r="E43"/>
  <c r="D43"/>
  <c r="F42"/>
  <c r="E42"/>
  <c r="D42"/>
  <c r="G36"/>
  <c r="F36"/>
  <c r="E36"/>
  <c r="D36"/>
  <c r="F35"/>
  <c r="E35"/>
  <c r="D35"/>
  <c r="G34"/>
  <c r="F34"/>
  <c r="E34"/>
  <c r="D34"/>
  <c r="F33"/>
  <c r="E33"/>
  <c r="D33"/>
  <c r="F32"/>
  <c r="E32"/>
  <c r="D32"/>
  <c r="F26"/>
  <c r="E26"/>
  <c r="D26"/>
  <c r="F25"/>
  <c r="E25"/>
  <c r="D25"/>
  <c r="F24"/>
  <c r="E24"/>
  <c r="D24"/>
  <c r="F22"/>
  <c r="E22"/>
  <c r="D22"/>
  <c r="D29" s="1"/>
  <c r="G16"/>
  <c r="F16"/>
  <c r="E16"/>
  <c r="D16"/>
  <c r="G15"/>
  <c r="F15"/>
  <c r="E15"/>
  <c r="D15"/>
  <c r="F14"/>
  <c r="E14"/>
  <c r="D14"/>
  <c r="G12"/>
  <c r="F12"/>
  <c r="E12"/>
  <c r="D12"/>
  <c r="B14" i="14"/>
  <c r="B13"/>
  <c r="B12"/>
  <c r="B11"/>
  <c r="B10"/>
  <c r="J8"/>
  <c r="J34" s="1"/>
  <c r="I8"/>
  <c r="I23"/>
  <c r="G8"/>
  <c r="G23" s="1"/>
  <c r="F34"/>
  <c r="G31" i="12"/>
  <c r="G49"/>
  <c r="K31"/>
  <c r="G30"/>
  <c r="G38" s="1"/>
  <c r="G48"/>
  <c r="G56" s="1"/>
  <c r="H29"/>
  <c r="K29" s="1"/>
  <c r="G29"/>
  <c r="H47"/>
  <c r="H55" s="1"/>
  <c r="G47"/>
  <c r="H28"/>
  <c r="G28"/>
  <c r="H46"/>
  <c r="K46"/>
  <c r="K47"/>
  <c r="G46"/>
  <c r="H27"/>
  <c r="G27"/>
  <c r="H45"/>
  <c r="K45" s="1"/>
  <c r="K53" s="1"/>
  <c r="G45"/>
  <c r="H26"/>
  <c r="G26"/>
  <c r="H44"/>
  <c r="G44"/>
  <c r="G13"/>
  <c r="A13"/>
  <c r="H20"/>
  <c r="J20"/>
  <c r="G12"/>
  <c r="G20" s="1"/>
  <c r="B20"/>
  <c r="A12"/>
  <c r="A20" s="1"/>
  <c r="H11"/>
  <c r="G11"/>
  <c r="B11"/>
  <c r="A11"/>
  <c r="H10"/>
  <c r="G10"/>
  <c r="B10"/>
  <c r="E10" s="1"/>
  <c r="E18" s="1"/>
  <c r="A10"/>
  <c r="H9"/>
  <c r="G9"/>
  <c r="B9"/>
  <c r="A9"/>
  <c r="H8"/>
  <c r="H16" s="1"/>
  <c r="G8"/>
  <c r="B8"/>
  <c r="A8"/>
  <c r="E48" i="20"/>
  <c r="C1" i="36"/>
  <c r="B1" i="35"/>
  <c r="B1" i="34"/>
  <c r="B1" i="33"/>
  <c r="B1" i="32"/>
  <c r="B1" i="30"/>
  <c r="B1" i="28"/>
  <c r="B1" i="27"/>
  <c r="B1" i="26"/>
  <c r="B1" i="25"/>
  <c r="B1" i="24"/>
  <c r="B49" s="1"/>
  <c r="B1" i="23"/>
  <c r="B50" s="1"/>
  <c r="B1" i="22"/>
  <c r="B49" s="1"/>
  <c r="B2" i="21"/>
  <c r="B50"/>
  <c r="A1" i="20"/>
  <c r="B1" i="19"/>
  <c r="B1" i="18"/>
  <c r="B1" i="17"/>
  <c r="B1" i="15"/>
  <c r="F39" i="35"/>
  <c r="H39" s="1"/>
  <c r="H16"/>
  <c r="F15"/>
  <c r="H15" s="1"/>
  <c r="H41" i="34"/>
  <c r="G32"/>
  <c r="G27"/>
  <c r="G20"/>
  <c r="K19"/>
  <c r="K18"/>
  <c r="K17"/>
  <c r="K16"/>
  <c r="K15"/>
  <c r="J20" i="30"/>
  <c r="H30" i="16"/>
  <c r="J16" i="30"/>
  <c r="F30" i="16"/>
  <c r="E68" i="27"/>
  <c r="G43"/>
  <c r="I43"/>
  <c r="H38" i="26"/>
  <c r="D28"/>
  <c r="D31"/>
  <c r="G36" i="25"/>
  <c r="L29"/>
  <c r="K18"/>
  <c r="L16"/>
  <c r="K16"/>
  <c r="K13"/>
  <c r="K91" i="24"/>
  <c r="N90"/>
  <c r="G90"/>
  <c r="N88"/>
  <c r="C88"/>
  <c r="K82"/>
  <c r="M82" s="1"/>
  <c r="K81"/>
  <c r="M81" s="1"/>
  <c r="K80"/>
  <c r="M80" s="1"/>
  <c r="O80" s="1"/>
  <c r="K79"/>
  <c r="M79" s="1"/>
  <c r="K78"/>
  <c r="M78" s="1"/>
  <c r="O78" s="1"/>
  <c r="K77"/>
  <c r="M77" s="1"/>
  <c r="K76"/>
  <c r="M76" s="1"/>
  <c r="O76" s="1"/>
  <c r="K75"/>
  <c r="M75" s="1"/>
  <c r="K74"/>
  <c r="M74" s="1"/>
  <c r="K73"/>
  <c r="M73" s="1"/>
  <c r="K72"/>
  <c r="M72" s="1"/>
  <c r="K65"/>
  <c r="M65" s="1"/>
  <c r="K64"/>
  <c r="M64" s="1"/>
  <c r="K63"/>
  <c r="M63" s="1"/>
  <c r="K62"/>
  <c r="M62" s="1"/>
  <c r="K61"/>
  <c r="M61" s="1"/>
  <c r="K60"/>
  <c r="M60" s="1"/>
  <c r="K59"/>
  <c r="M59" s="1"/>
  <c r="O56"/>
  <c r="N56"/>
  <c r="M56"/>
  <c r="L56"/>
  <c r="K56"/>
  <c r="J56"/>
  <c r="H56"/>
  <c r="G56"/>
  <c r="E56"/>
  <c r="O55"/>
  <c r="M55"/>
  <c r="K55"/>
  <c r="J55"/>
  <c r="H55"/>
  <c r="G55"/>
  <c r="E55"/>
  <c r="J54"/>
  <c r="E54"/>
  <c r="K43"/>
  <c r="M43" s="1"/>
  <c r="K42"/>
  <c r="M42" s="1"/>
  <c r="K41"/>
  <c r="M41" s="1"/>
  <c r="K40"/>
  <c r="M40" s="1"/>
  <c r="K34"/>
  <c r="M34" s="1"/>
  <c r="O34" s="1"/>
  <c r="K33"/>
  <c r="M33" s="1"/>
  <c r="K32"/>
  <c r="M32" s="1"/>
  <c r="K31"/>
  <c r="M31" s="1"/>
  <c r="K30"/>
  <c r="M30" s="1"/>
  <c r="K24"/>
  <c r="M24" s="1"/>
  <c r="K23"/>
  <c r="M23" s="1"/>
  <c r="K22"/>
  <c r="M22" s="1"/>
  <c r="K21"/>
  <c r="M21" s="1"/>
  <c r="K20"/>
  <c r="M20" s="1"/>
  <c r="K19"/>
  <c r="M19" s="1"/>
  <c r="L87" i="23"/>
  <c r="K87"/>
  <c r="J87"/>
  <c r="I87"/>
  <c r="G87"/>
  <c r="J71"/>
  <c r="I71"/>
  <c r="G71"/>
  <c r="L46"/>
  <c r="K46"/>
  <c r="J46"/>
  <c r="I46"/>
  <c r="G46"/>
  <c r="D57"/>
  <c r="K56"/>
  <c r="D56"/>
  <c r="D55"/>
  <c r="L37"/>
  <c r="K37"/>
  <c r="J37"/>
  <c r="I37"/>
  <c r="G37"/>
  <c r="L27"/>
  <c r="K27"/>
  <c r="J27"/>
  <c r="I27"/>
  <c r="G27"/>
  <c r="L16"/>
  <c r="K16"/>
  <c r="J16"/>
  <c r="I16"/>
  <c r="I89"/>
  <c r="G16"/>
  <c r="K7"/>
  <c r="L85" i="22"/>
  <c r="K85"/>
  <c r="J85"/>
  <c r="I85"/>
  <c r="G85"/>
  <c r="L68"/>
  <c r="L87"/>
  <c r="J17" i="25"/>
  <c r="K68" i="22"/>
  <c r="J68"/>
  <c r="I68"/>
  <c r="G68"/>
  <c r="L57"/>
  <c r="K57"/>
  <c r="J57"/>
  <c r="I57"/>
  <c r="F57"/>
  <c r="E57"/>
  <c r="M55"/>
  <c r="D55"/>
  <c r="D53"/>
  <c r="L46"/>
  <c r="K46"/>
  <c r="J46"/>
  <c r="I46"/>
  <c r="G46"/>
  <c r="L37"/>
  <c r="K37"/>
  <c r="J37"/>
  <c r="I37"/>
  <c r="G37"/>
  <c r="L27"/>
  <c r="K27"/>
  <c r="J27"/>
  <c r="I27"/>
  <c r="G27"/>
  <c r="L16"/>
  <c r="K16"/>
  <c r="J16"/>
  <c r="J87"/>
  <c r="I17" i="25"/>
  <c r="G16" i="22"/>
  <c r="H81" i="21"/>
  <c r="H65"/>
  <c r="H43"/>
  <c r="H32"/>
  <c r="H25"/>
  <c r="H83" s="1"/>
  <c r="H17"/>
  <c r="E37" i="17"/>
  <c r="E21"/>
  <c r="H35" i="16"/>
  <c r="F35"/>
  <c r="J24"/>
  <c r="H24"/>
  <c r="F24"/>
  <c r="C18"/>
  <c r="C16"/>
  <c r="J26" i="14"/>
  <c r="I26"/>
  <c r="H26"/>
  <c r="G26"/>
  <c r="F26"/>
  <c r="K23"/>
  <c r="J37"/>
  <c r="I37"/>
  <c r="H37"/>
  <c r="G37"/>
  <c r="F37"/>
  <c r="K34"/>
  <c r="J31" i="12"/>
  <c r="J13"/>
  <c r="D13"/>
  <c r="L18" i="25"/>
  <c r="H56" i="12"/>
  <c r="K13"/>
  <c r="K12"/>
  <c r="K20" s="1"/>
  <c r="H34" i="14"/>
  <c r="H37" i="12"/>
  <c r="H38"/>
  <c r="K30"/>
  <c r="K38" s="1"/>
  <c r="C28" i="50"/>
  <c r="C10" i="12"/>
  <c r="D10" s="1"/>
  <c r="I44"/>
  <c r="I12" i="14"/>
  <c r="G14"/>
  <c r="H10"/>
  <c r="I11" i="12"/>
  <c r="I17" s="1"/>
  <c r="J17" s="1"/>
  <c r="I46"/>
  <c r="J46"/>
  <c r="B6" i="14"/>
  <c r="H14"/>
  <c r="H11"/>
  <c r="J11"/>
  <c r="I14"/>
  <c r="I10"/>
  <c r="I16" s="1"/>
  <c r="I29"/>
  <c r="I31"/>
  <c r="I32"/>
  <c r="H13"/>
  <c r="H19" s="1"/>
  <c r="J13"/>
  <c r="C9" i="12"/>
  <c r="D9" s="1"/>
  <c r="I26"/>
  <c r="J26"/>
  <c r="I47"/>
  <c r="J47"/>
  <c r="C29" i="14"/>
  <c r="J10"/>
  <c r="F12"/>
  <c r="F11"/>
  <c r="K11" s="1"/>
  <c r="F13"/>
  <c r="K13"/>
  <c r="C11" i="12"/>
  <c r="C19" s="1"/>
  <c r="D11"/>
  <c r="I11" i="14"/>
  <c r="I17" s="1"/>
  <c r="G10"/>
  <c r="G12"/>
  <c r="J14"/>
  <c r="J19" s="1"/>
  <c r="G13"/>
  <c r="G18"/>
  <c r="H12"/>
  <c r="G11"/>
  <c r="G17"/>
  <c r="I13"/>
  <c r="I27" i="12"/>
  <c r="J27" s="1"/>
  <c r="C7"/>
  <c r="D7" s="1"/>
  <c r="I9"/>
  <c r="I29"/>
  <c r="I37" s="1"/>
  <c r="J37" s="1"/>
  <c r="C18"/>
  <c r="I45"/>
  <c r="F10" i="14"/>
  <c r="K10" s="1"/>
  <c r="I8" i="12"/>
  <c r="F14" i="14"/>
  <c r="F19" s="1"/>
  <c r="L28" i="25"/>
  <c r="L30"/>
  <c r="H25" i="26"/>
  <c r="F27" i="35"/>
  <c r="H27" s="1"/>
  <c r="J23" i="14"/>
  <c r="K20" i="34"/>
  <c r="G14" i="35"/>
  <c r="G29" s="1"/>
  <c r="G19" i="50"/>
  <c r="G21"/>
  <c r="G20"/>
  <c r="G22"/>
  <c r="J89" i="23"/>
  <c r="G89"/>
  <c r="E62" i="20"/>
  <c r="I20" i="12"/>
  <c r="E13"/>
  <c r="I38"/>
  <c r="J38"/>
  <c r="I19" i="14"/>
  <c r="I34"/>
  <c r="J9" i="12"/>
  <c r="K27"/>
  <c r="I55"/>
  <c r="G56" i="21"/>
  <c r="J56" s="1"/>
  <c r="H79" i="22"/>
  <c r="I18" i="12"/>
  <c r="E61" i="38"/>
  <c r="H83" i="22"/>
  <c r="M83" s="1"/>
  <c r="I103" i="38"/>
  <c r="G28" i="34"/>
  <c r="G30"/>
  <c r="G25" i="35"/>
  <c r="F20" i="50"/>
  <c r="I73" i="21"/>
  <c r="K73" s="1"/>
  <c r="I22"/>
  <c r="J22" s="1"/>
  <c r="I34"/>
  <c r="J34" s="1"/>
  <c r="I36"/>
  <c r="J36" s="1"/>
  <c r="I20"/>
  <c r="E46" i="23"/>
  <c r="H82"/>
  <c r="M82" s="1"/>
  <c r="H76"/>
  <c r="M76" s="1"/>
  <c r="H67"/>
  <c r="M67" s="1"/>
  <c r="H22"/>
  <c r="M22" s="1"/>
  <c r="H24"/>
  <c r="M24" s="1"/>
  <c r="H31"/>
  <c r="M31" s="1"/>
  <c r="H34"/>
  <c r="M34" s="1"/>
  <c r="H65"/>
  <c r="H68"/>
  <c r="M68" s="1"/>
  <c r="H83"/>
  <c r="M83" s="1"/>
  <c r="H78" i="22"/>
  <c r="M78" s="1"/>
  <c r="E16"/>
  <c r="G42" i="24"/>
  <c r="H64" i="22"/>
  <c r="G72" i="24"/>
  <c r="H72"/>
  <c r="H40" i="22"/>
  <c r="H72"/>
  <c r="N72" s="1"/>
  <c r="I28" i="21"/>
  <c r="J28" s="1"/>
  <c r="I82" i="38"/>
  <c r="J82" s="1"/>
  <c r="I96"/>
  <c r="E81" i="21"/>
  <c r="D88" i="38"/>
  <c r="G65" i="21"/>
  <c r="F38" i="38"/>
  <c r="I11" i="40"/>
  <c r="I21" i="21"/>
  <c r="K21" s="1"/>
  <c r="I94" i="38"/>
  <c r="J94" s="1"/>
  <c r="I21" i="40"/>
  <c r="J21" s="1"/>
  <c r="I13" i="38"/>
  <c r="K13" s="1"/>
  <c r="G31" i="40"/>
  <c r="D17" i="21"/>
  <c r="I72"/>
  <c r="K72" s="1"/>
  <c r="I76"/>
  <c r="J76" s="1"/>
  <c r="I10" i="38"/>
  <c r="J10" s="1"/>
  <c r="H29" i="14"/>
  <c r="H31"/>
  <c r="H32"/>
  <c r="G19"/>
  <c r="G16"/>
  <c r="G29"/>
  <c r="G31"/>
  <c r="G32"/>
  <c r="K48" i="12"/>
  <c r="J12"/>
  <c r="J48"/>
  <c r="K28"/>
  <c r="J45"/>
  <c r="K9"/>
  <c r="B18"/>
  <c r="I36"/>
  <c r="I56"/>
  <c r="J56"/>
  <c r="B19"/>
  <c r="H36"/>
  <c r="H18"/>
  <c r="I53"/>
  <c r="E11"/>
  <c r="I19"/>
  <c r="H54"/>
  <c r="C20"/>
  <c r="D20"/>
  <c r="J30"/>
  <c r="E12"/>
  <c r="E20"/>
  <c r="D12"/>
  <c r="K49"/>
  <c r="H17"/>
  <c r="I2" i="46"/>
  <c r="B3" i="18"/>
  <c r="D49" i="22"/>
  <c r="B3" i="17"/>
  <c r="J13" i="38"/>
  <c r="N79" i="22"/>
  <c r="L78" i="24" s="1"/>
  <c r="M79" i="22"/>
  <c r="H23"/>
  <c r="G28" i="25"/>
  <c r="F10"/>
  <c r="F14" s="1"/>
  <c r="G35"/>
  <c r="D32" i="21"/>
  <c r="G43" i="24"/>
  <c r="H43" s="1"/>
  <c r="D19" i="18"/>
  <c r="D38" s="1"/>
  <c r="I70" i="21"/>
  <c r="J70"/>
  <c r="G21" i="24"/>
  <c r="H21" s="1"/>
  <c r="I93" i="38"/>
  <c r="I27" i="40"/>
  <c r="J7" i="38"/>
  <c r="I67" i="21"/>
  <c r="K67" s="1"/>
  <c r="H80" i="22"/>
  <c r="E49" i="38"/>
  <c r="I81"/>
  <c r="E47" i="18"/>
  <c r="G81" i="21"/>
  <c r="I78"/>
  <c r="J78" s="1"/>
  <c r="G82" i="24"/>
  <c r="H82"/>
  <c r="E27" i="23"/>
  <c r="H32"/>
  <c r="M32" s="1"/>
  <c r="F37"/>
  <c r="H75"/>
  <c r="M75"/>
  <c r="H80"/>
  <c r="M80" s="1"/>
  <c r="I100" i="38"/>
  <c r="K100" s="1"/>
  <c r="J15" i="40"/>
  <c r="G65" i="24"/>
  <c r="H65" s="1"/>
  <c r="F37" i="22"/>
  <c r="I30" i="38"/>
  <c r="J30" s="1"/>
  <c r="I68"/>
  <c r="D79"/>
  <c r="F88"/>
  <c r="I25" i="40"/>
  <c r="J25"/>
  <c r="I12" i="21"/>
  <c r="J21"/>
  <c r="I8"/>
  <c r="I55" s="1"/>
  <c r="I40"/>
  <c r="K40" s="1"/>
  <c r="H41" i="23"/>
  <c r="M41" s="1"/>
  <c r="D46"/>
  <c r="D37"/>
  <c r="J72" i="21"/>
  <c r="G29" i="18"/>
  <c r="F47"/>
  <c r="F65" i="21"/>
  <c r="I69"/>
  <c r="K69" s="1"/>
  <c r="H35" i="22"/>
  <c r="N35" s="1"/>
  <c r="L34" i="24" s="1"/>
  <c r="F46" i="22"/>
  <c r="H60"/>
  <c r="N60"/>
  <c r="L59" i="24" s="1"/>
  <c r="N59" s="1"/>
  <c r="G80"/>
  <c r="H23" i="23"/>
  <c r="M23" s="1"/>
  <c r="H66"/>
  <c r="H81"/>
  <c r="M81"/>
  <c r="E88" i="38"/>
  <c r="G19" i="18"/>
  <c r="G32" i="21"/>
  <c r="I74"/>
  <c r="K74" s="1"/>
  <c r="G30" i="24"/>
  <c r="H30" s="1"/>
  <c r="G63"/>
  <c r="H63" s="1"/>
  <c r="H91" s="1"/>
  <c r="H74" i="22"/>
  <c r="N74" s="1"/>
  <c r="L73" i="24" s="1"/>
  <c r="N73" s="1"/>
  <c r="I22" i="40"/>
  <c r="K22" s="1"/>
  <c r="I26"/>
  <c r="K26" s="1"/>
  <c r="E19" i="18"/>
  <c r="E65" i="21"/>
  <c r="F16" i="23"/>
  <c r="H42"/>
  <c r="M42" s="1"/>
  <c r="I12" i="40"/>
  <c r="J12" s="1"/>
  <c r="I7"/>
  <c r="I30" i="21"/>
  <c r="K30" s="1"/>
  <c r="H20" i="22"/>
  <c r="M20" s="1"/>
  <c r="G59" i="24"/>
  <c r="H59"/>
  <c r="H43" i="23"/>
  <c r="M43"/>
  <c r="H77"/>
  <c r="M77"/>
  <c r="H84"/>
  <c r="M84" s="1"/>
  <c r="I34" i="38"/>
  <c r="I43"/>
  <c r="I73"/>
  <c r="I14" i="40"/>
  <c r="K14" s="1"/>
  <c r="D31"/>
  <c r="I23"/>
  <c r="J23" s="1"/>
  <c r="I29"/>
  <c r="K20" i="21"/>
  <c r="J20"/>
  <c r="H14" i="22"/>
  <c r="E85"/>
  <c r="H76"/>
  <c r="M76" s="1"/>
  <c r="D87" i="23"/>
  <c r="D65" i="21"/>
  <c r="F25"/>
  <c r="I19"/>
  <c r="K19" s="1"/>
  <c r="I23"/>
  <c r="E25"/>
  <c r="H81" i="22"/>
  <c r="N81" s="1"/>
  <c r="L80" i="24" s="1"/>
  <c r="D37" i="22"/>
  <c r="H41"/>
  <c r="M41" s="1"/>
  <c r="G40" i="24"/>
  <c r="H40" s="1"/>
  <c r="D46" i="22"/>
  <c r="I63" i="38"/>
  <c r="I27" i="21"/>
  <c r="F32"/>
  <c r="K22"/>
  <c r="F81"/>
  <c r="G73" i="24"/>
  <c r="H73" s="1"/>
  <c r="E46" i="22"/>
  <c r="H74" i="23"/>
  <c r="E87"/>
  <c r="D27" i="22"/>
  <c r="E43" i="21"/>
  <c r="I35"/>
  <c r="K35" s="1"/>
  <c r="G75" i="24"/>
  <c r="H75" s="1"/>
  <c r="F55" i="20"/>
  <c r="H21" i="22"/>
  <c r="M21" s="1"/>
  <c r="G20" i="24"/>
  <c r="H20" s="1"/>
  <c r="G23"/>
  <c r="H23"/>
  <c r="G34"/>
  <c r="F46" i="23"/>
  <c r="F87"/>
  <c r="E38" i="38"/>
  <c r="D81" i="21"/>
  <c r="I71"/>
  <c r="J71" s="1"/>
  <c r="E27" i="22"/>
  <c r="E16" i="23"/>
  <c r="H14"/>
  <c r="M14" s="1"/>
  <c r="H25"/>
  <c r="M25" s="1"/>
  <c r="D105" i="38"/>
  <c r="G19" i="24"/>
  <c r="H19"/>
  <c r="E55" i="20"/>
  <c r="I77" i="21"/>
  <c r="J77" s="1"/>
  <c r="H12" i="22"/>
  <c r="N12" s="1"/>
  <c r="G60" i="24"/>
  <c r="H60" s="1"/>
  <c r="F85" i="22"/>
  <c r="G81" i="24"/>
  <c r="H81" s="1"/>
  <c r="H82" i="22"/>
  <c r="N82" s="1"/>
  <c r="L81" i="24" s="1"/>
  <c r="N81" s="1"/>
  <c r="D27" i="23"/>
  <c r="E79" i="38"/>
  <c r="K70"/>
  <c r="E31" i="40"/>
  <c r="H59" i="22"/>
  <c r="M59" s="1"/>
  <c r="D68"/>
  <c r="H12" i="23"/>
  <c r="M12" s="1"/>
  <c r="E37"/>
  <c r="J11" i="40"/>
  <c r="K11"/>
  <c r="D19"/>
  <c r="I13"/>
  <c r="G74" i="24"/>
  <c r="H74" s="1"/>
  <c r="H75" i="22"/>
  <c r="M75" s="1"/>
  <c r="I85" i="38"/>
  <c r="J85" s="1"/>
  <c r="E19" i="40"/>
  <c r="G76" i="24"/>
  <c r="H77" i="22"/>
  <c r="N77" s="1"/>
  <c r="L76" i="24" s="1"/>
  <c r="F27" i="23"/>
  <c r="C3" i="26"/>
  <c r="D56" i="38"/>
  <c r="G2" i="50"/>
  <c r="D2" i="22"/>
  <c r="C3" i="27"/>
  <c r="C3" i="25"/>
  <c r="D49" i="24"/>
  <c r="G2" i="49"/>
  <c r="D2" i="38"/>
  <c r="I2" i="47"/>
  <c r="C3" i="28"/>
  <c r="C3" i="16"/>
  <c r="C2" i="30"/>
  <c r="D3" i="15"/>
  <c r="B2" i="24"/>
  <c r="A1" i="12"/>
  <c r="E2" i="9"/>
  <c r="B3" i="20"/>
  <c r="A6" i="8"/>
  <c r="C13" s="1"/>
  <c r="C2" i="33"/>
  <c r="D1" i="23"/>
  <c r="D3" i="21"/>
  <c r="D50"/>
  <c r="D2" i="40"/>
  <c r="C3" i="10"/>
  <c r="B3" i="32"/>
  <c r="I38" i="21"/>
  <c r="K38" s="1"/>
  <c r="H43" i="22"/>
  <c r="M43" s="1"/>
  <c r="G77" i="24"/>
  <c r="H77" s="1"/>
  <c r="H35" i="23"/>
  <c r="M35" s="1"/>
  <c r="H64"/>
  <c r="M64" s="1"/>
  <c r="H78"/>
  <c r="M78"/>
  <c r="H42" i="24"/>
  <c r="F105" i="38"/>
  <c r="F19" i="40"/>
  <c r="F33" s="1"/>
  <c r="F27" i="22"/>
  <c r="H33"/>
  <c r="M33" s="1"/>
  <c r="G32" i="24"/>
  <c r="H32" s="1"/>
  <c r="I66" i="38"/>
  <c r="I24" i="40"/>
  <c r="K24" s="1"/>
  <c r="I28"/>
  <c r="J28" s="1"/>
  <c r="G22" i="24"/>
  <c r="H22" s="1"/>
  <c r="D71" i="23"/>
  <c r="I42" i="38"/>
  <c r="F31" i="40"/>
  <c r="I62" i="21"/>
  <c r="K62" s="1"/>
  <c r="H32" i="22"/>
  <c r="N32" s="1"/>
  <c r="L31" i="24" s="1"/>
  <c r="N31" s="1"/>
  <c r="H34" i="22"/>
  <c r="M34" s="1"/>
  <c r="I46" i="38"/>
  <c r="J46" s="1"/>
  <c r="I6"/>
  <c r="I59" s="1"/>
  <c r="N40" i="22"/>
  <c r="M40"/>
  <c r="J74" i="21"/>
  <c r="J67"/>
  <c r="K28"/>
  <c r="K76"/>
  <c r="I65"/>
  <c r="F29" i="14"/>
  <c r="F31"/>
  <c r="E19" i="12"/>
  <c r="J14" i="40"/>
  <c r="N20" i="22"/>
  <c r="L19" i="24" s="1"/>
  <c r="K23" i="40"/>
  <c r="K25"/>
  <c r="D33"/>
  <c r="K70" i="21"/>
  <c r="M60" i="22"/>
  <c r="J22" i="40"/>
  <c r="K78" i="21"/>
  <c r="J69"/>
  <c r="J12"/>
  <c r="K12"/>
  <c r="F12" i="25"/>
  <c r="M35" i="22"/>
  <c r="K27" i="40"/>
  <c r="J27"/>
  <c r="N80" i="22"/>
  <c r="L79" i="24" s="1"/>
  <c r="N79" s="1"/>
  <c r="M80" i="22"/>
  <c r="J29" i="40"/>
  <c r="K29"/>
  <c r="J30" i="21"/>
  <c r="K12" i="40"/>
  <c r="K46" i="38"/>
  <c r="M12" i="22"/>
  <c r="J19" i="21"/>
  <c r="I25"/>
  <c r="M77" i="22"/>
  <c r="K28" i="40"/>
  <c r="E57" i="20"/>
  <c r="E68" s="1"/>
  <c r="E65"/>
  <c r="J35" i="21"/>
  <c r="M74" i="23"/>
  <c r="K71" i="21"/>
  <c r="F57" i="20"/>
  <c r="F68" s="1"/>
  <c r="F65"/>
  <c r="N59" i="22"/>
  <c r="K13" i="40"/>
  <c r="J13"/>
  <c r="K23" i="21"/>
  <c r="J23"/>
  <c r="K77"/>
  <c r="J62"/>
  <c r="E33" i="40"/>
  <c r="K32" i="38"/>
  <c r="M81" i="22"/>
  <c r="M14"/>
  <c r="N14"/>
  <c r="K37" i="14"/>
  <c r="H39" i="15"/>
  <c r="K26" i="14"/>
  <c r="D34" i="12"/>
  <c r="E38"/>
  <c r="L29" i="47"/>
  <c r="I35" i="50"/>
  <c r="L31" i="47" s="1"/>
  <c r="L35" s="1"/>
  <c r="H27" i="18" s="1"/>
  <c r="D50" i="16"/>
  <c r="G60" s="1"/>
  <c r="J28" i="46"/>
  <c r="C8" i="17"/>
  <c r="F36" s="1"/>
  <c r="H36" s="1"/>
  <c r="G7" i="47"/>
  <c r="G28" i="46"/>
  <c r="G34" s="1"/>
  <c r="K28"/>
  <c r="K34" s="1"/>
  <c r="K38" s="1"/>
  <c r="K40" s="1"/>
  <c r="E7" i="50"/>
  <c r="H28" i="46"/>
  <c r="L28"/>
  <c r="L34"/>
  <c r="L38" s="1"/>
  <c r="I28"/>
  <c r="F17" i="50"/>
  <c r="F19"/>
  <c r="F21"/>
  <c r="F18"/>
  <c r="H31" i="15"/>
  <c r="F28" i="17"/>
  <c r="G70" i="16"/>
  <c r="G61" i="24"/>
  <c r="H61" s="1"/>
  <c r="H63" i="22"/>
  <c r="N63" s="1"/>
  <c r="L62" i="24" s="1"/>
  <c r="N62" s="1"/>
  <c r="M63" i="22"/>
  <c r="E71" i="23"/>
  <c r="E89" s="1"/>
  <c r="F11" i="27" s="1"/>
  <c r="F25" s="1"/>
  <c r="J100" i="38"/>
  <c r="K94"/>
  <c r="K28"/>
  <c r="K85"/>
  <c r="K43"/>
  <c r="K30"/>
  <c r="K82"/>
  <c r="D49"/>
  <c r="E105"/>
  <c r="I25"/>
  <c r="D68" i="27"/>
  <c r="H30" i="46"/>
  <c r="H28" i="47"/>
  <c r="I29"/>
  <c r="I28"/>
  <c r="M64" i="22"/>
  <c r="N23"/>
  <c r="L22" i="24" s="1"/>
  <c r="N22" s="1"/>
  <c r="M23" i="22"/>
  <c r="K86" i="24"/>
  <c r="G64"/>
  <c r="H64" s="1"/>
  <c r="E68" i="22"/>
  <c r="E87"/>
  <c r="K87"/>
  <c r="N76"/>
  <c r="L75" i="24" s="1"/>
  <c r="N75" s="1"/>
  <c r="N64" i="22"/>
  <c r="L63" i="24"/>
  <c r="N63" s="1"/>
  <c r="G34" i="50"/>
  <c r="J28"/>
  <c r="J34"/>
  <c r="M18" i="47"/>
  <c r="E58" i="16"/>
  <c r="M36" i="46"/>
  <c r="M22" i="47"/>
  <c r="E62" i="16" s="1"/>
  <c r="G62" s="1"/>
  <c r="M20" i="46"/>
  <c r="K28" i="47"/>
  <c r="M15"/>
  <c r="E55" i="16" s="1"/>
  <c r="K29" i="47"/>
  <c r="M14"/>
  <c r="J29"/>
  <c r="M19"/>
  <c r="E59" i="16" s="1"/>
  <c r="J28" i="47"/>
  <c r="M15" i="46"/>
  <c r="I27"/>
  <c r="I34"/>
  <c r="M16" i="47"/>
  <c r="E56" i="16" s="1"/>
  <c r="G56" s="1"/>
  <c r="J35" i="49"/>
  <c r="M30" i="46"/>
  <c r="J30"/>
  <c r="J34" s="1"/>
  <c r="E36" i="12"/>
  <c r="E37"/>
  <c r="I87" i="22"/>
  <c r="L17" i="25"/>
  <c r="K17"/>
  <c r="N78" i="22"/>
  <c r="L77" i="24" s="1"/>
  <c r="N77" s="1"/>
  <c r="G87" i="22"/>
  <c r="N41"/>
  <c r="L40" i="24" s="1"/>
  <c r="N40" s="1"/>
  <c r="F32" i="14"/>
  <c r="M28" i="46"/>
  <c r="M27"/>
  <c r="G28" i="47"/>
  <c r="G29"/>
  <c r="I19" i="30"/>
  <c r="J19" s="1"/>
  <c r="H29" i="16" s="1"/>
  <c r="J15" i="30"/>
  <c r="F29" i="16" s="1"/>
  <c r="M66" i="23"/>
  <c r="M65"/>
  <c r="K71"/>
  <c r="K89"/>
  <c r="I59" i="27"/>
  <c r="K55" i="12"/>
  <c r="K56"/>
  <c r="D55"/>
  <c r="D52"/>
  <c r="J49"/>
  <c r="I61" i="27"/>
  <c r="I68"/>
  <c r="G68"/>
  <c r="J14" i="21" l="1"/>
  <c r="K14"/>
  <c r="K39"/>
  <c r="J39"/>
  <c r="K33" i="38"/>
  <c r="J33"/>
  <c r="K77"/>
  <c r="J77"/>
  <c r="K20"/>
  <c r="J20"/>
  <c r="K35"/>
  <c r="J35"/>
  <c r="J84"/>
  <c r="K84"/>
  <c r="K37" i="12"/>
  <c r="K35"/>
  <c r="K36"/>
  <c r="O77" i="24"/>
  <c r="N43" i="22"/>
  <c r="L42" i="24" s="1"/>
  <c r="N42" s="1"/>
  <c r="M74" i="22"/>
  <c r="E38" i="18"/>
  <c r="E50" s="1"/>
  <c r="C17" i="12"/>
  <c r="F18" i="14"/>
  <c r="H17"/>
  <c r="J11" i="12"/>
  <c r="E29" i="18"/>
  <c r="D25" i="21"/>
  <c r="H20" i="23"/>
  <c r="M20" s="1"/>
  <c r="H63"/>
  <c r="M63" s="1"/>
  <c r="J28" i="12"/>
  <c r="I12" i="38"/>
  <c r="I47"/>
  <c r="M26" i="47"/>
  <c r="E66" i="16" s="1"/>
  <c r="G66" s="1"/>
  <c r="I29" i="21"/>
  <c r="F35" i="50"/>
  <c r="I31" i="47" s="1"/>
  <c r="I35" s="1"/>
  <c r="H24" i="18" s="1"/>
  <c r="L40" i="46"/>
  <c r="J73" i="21"/>
  <c r="K19" i="14"/>
  <c r="I7" i="12"/>
  <c r="I34"/>
  <c r="H53"/>
  <c r="J53" s="1"/>
  <c r="F17" i="21"/>
  <c r="I59"/>
  <c r="I63"/>
  <c r="I75"/>
  <c r="J75" s="1"/>
  <c r="I79"/>
  <c r="H13" i="22"/>
  <c r="N13" s="1"/>
  <c r="N16" s="1"/>
  <c r="H13" i="23"/>
  <c r="H85"/>
  <c r="D8" i="12"/>
  <c r="I14" i="38"/>
  <c r="I26"/>
  <c r="G30"/>
  <c r="H30" s="1"/>
  <c r="G34"/>
  <c r="F49"/>
  <c r="F107" s="1"/>
  <c r="I44"/>
  <c r="G64"/>
  <c r="H64" s="1"/>
  <c r="I86"/>
  <c r="I88" s="1"/>
  <c r="G92"/>
  <c r="H92" s="1"/>
  <c r="K92" s="1"/>
  <c r="I16" i="40"/>
  <c r="G26" i="17"/>
  <c r="F22" i="50"/>
  <c r="J14" i="30"/>
  <c r="F28" i="16" s="1"/>
  <c r="F32" s="1"/>
  <c r="F34" s="1"/>
  <c r="F37" s="1"/>
  <c r="G35" i="50"/>
  <c r="J31" i="47" s="1"/>
  <c r="J35" s="1"/>
  <c r="H25" i="18" s="1"/>
  <c r="O81" i="24"/>
  <c r="C25" i="12"/>
  <c r="C43" s="1"/>
  <c r="D25" s="1"/>
  <c r="D43" s="1"/>
  <c r="O42" i="24"/>
  <c r="E9" i="12"/>
  <c r="E17" s="1"/>
  <c r="G34" i="14"/>
  <c r="F25" i="19"/>
  <c r="F34" s="1"/>
  <c r="E17" i="21"/>
  <c r="E83" s="1"/>
  <c r="K34" i="25"/>
  <c r="I16" i="38"/>
  <c r="I18"/>
  <c r="K18" s="1"/>
  <c r="G32"/>
  <c r="H32" s="1"/>
  <c r="G36"/>
  <c r="H36" s="1"/>
  <c r="G44"/>
  <c r="H44" s="1"/>
  <c r="I69"/>
  <c r="K69" s="1"/>
  <c r="G74"/>
  <c r="H74" s="1"/>
  <c r="I92"/>
  <c r="G97"/>
  <c r="H97" s="1"/>
  <c r="G102"/>
  <c r="H102" s="1"/>
  <c r="H17" i="50"/>
  <c r="M21" i="47"/>
  <c r="M34" i="46"/>
  <c r="H35" i="50"/>
  <c r="K31" i="47" s="1"/>
  <c r="K35" s="1"/>
  <c r="H26" i="18" s="1"/>
  <c r="H34" i="46"/>
  <c r="J18" i="12"/>
  <c r="G33" i="35"/>
  <c r="I43" i="12"/>
  <c r="D18"/>
  <c r="D19"/>
  <c r="I54"/>
  <c r="J54" s="1"/>
  <c r="K10"/>
  <c r="K18" s="1"/>
  <c r="D47" i="18"/>
  <c r="D50" s="1"/>
  <c r="H21" i="23"/>
  <c r="M21" s="1"/>
  <c r="H33"/>
  <c r="M33" s="1"/>
  <c r="H40"/>
  <c r="H46" s="1"/>
  <c r="F23" i="38"/>
  <c r="G41"/>
  <c r="H41" s="1"/>
  <c r="G46"/>
  <c r="H46" s="1"/>
  <c r="G66"/>
  <c r="H66" s="1"/>
  <c r="K66" s="1"/>
  <c r="G71"/>
  <c r="H71" s="1"/>
  <c r="G94"/>
  <c r="I99"/>
  <c r="G19" i="40"/>
  <c r="G33" s="1"/>
  <c r="I32" i="21"/>
  <c r="I52" i="12"/>
  <c r="O22" i="24"/>
  <c r="O75"/>
  <c r="H34" i="12"/>
  <c r="K54"/>
  <c r="H35"/>
  <c r="E64" i="20"/>
  <c r="F43" i="21"/>
  <c r="I41"/>
  <c r="H31" i="24"/>
  <c r="H36" s="1"/>
  <c r="D16" i="23"/>
  <c r="D89" s="1"/>
  <c r="G29" i="20" s="1"/>
  <c r="H30" i="23"/>
  <c r="F79" i="38"/>
  <c r="M24" i="47"/>
  <c r="E64" i="16" s="1"/>
  <c r="H28" i="17"/>
  <c r="J93" i="38"/>
  <c r="F16" i="14"/>
  <c r="I18"/>
  <c r="F62" i="20"/>
  <c r="G25" i="21"/>
  <c r="H62" i="24"/>
  <c r="F34" i="20"/>
  <c r="F36" s="1"/>
  <c r="I11" i="38"/>
  <c r="K11" s="1"/>
  <c r="G15"/>
  <c r="I17"/>
  <c r="I27"/>
  <c r="I29"/>
  <c r="K29" s="1"/>
  <c r="G35"/>
  <c r="H35" s="1"/>
  <c r="G43"/>
  <c r="J43" s="1"/>
  <c r="G68"/>
  <c r="G73"/>
  <c r="H73" s="1"/>
  <c r="K73" s="1"/>
  <c r="G96"/>
  <c r="H96" s="1"/>
  <c r="K96" s="1"/>
  <c r="G98"/>
  <c r="H98" s="1"/>
  <c r="K98" s="1"/>
  <c r="I17" i="40"/>
  <c r="E54" i="16"/>
  <c r="E68" s="1"/>
  <c r="F27" i="17"/>
  <c r="H27" s="1"/>
  <c r="J36" i="12"/>
  <c r="I16"/>
  <c r="J16" s="1"/>
  <c r="J16" i="14"/>
  <c r="J21" s="1"/>
  <c r="K21" s="1"/>
  <c r="H18"/>
  <c r="H52" i="12"/>
  <c r="J55"/>
  <c r="F19" i="18"/>
  <c r="F38" s="1"/>
  <c r="F50" s="1"/>
  <c r="F29"/>
  <c r="I15" i="21"/>
  <c r="I17" s="1"/>
  <c r="I37"/>
  <c r="H69" i="23"/>
  <c r="M69" s="1"/>
  <c r="E34" i="20"/>
  <c r="E36" s="1"/>
  <c r="F16" i="22"/>
  <c r="F87" s="1"/>
  <c r="K11" i="25" s="1"/>
  <c r="G17" i="38"/>
  <c r="H17" s="1"/>
  <c r="I21"/>
  <c r="G31"/>
  <c r="G40"/>
  <c r="J40" s="1"/>
  <c r="I45"/>
  <c r="I65"/>
  <c r="K65" s="1"/>
  <c r="G70"/>
  <c r="H70" s="1"/>
  <c r="I75"/>
  <c r="G83"/>
  <c r="G93"/>
  <c r="H93" s="1"/>
  <c r="K93" s="1"/>
  <c r="J18" i="30"/>
  <c r="H28" i="16" s="1"/>
  <c r="G40" i="46"/>
  <c r="G38"/>
  <c r="M86" i="24"/>
  <c r="I15" i="25" s="1"/>
  <c r="H48" i="20"/>
  <c r="H51"/>
  <c r="H61" s="1"/>
  <c r="G61"/>
  <c r="K13" i="21"/>
  <c r="J13"/>
  <c r="H24" i="24"/>
  <c r="K12" i="38"/>
  <c r="J12"/>
  <c r="J19"/>
  <c r="K19"/>
  <c r="H45"/>
  <c r="K45" s="1"/>
  <c r="J45"/>
  <c r="J103"/>
  <c r="H103"/>
  <c r="H67" i="24"/>
  <c r="H92"/>
  <c r="D87" i="22"/>
  <c r="G28" i="20" s="1"/>
  <c r="J40" i="46"/>
  <c r="J38"/>
  <c r="G59" i="16"/>
  <c r="K61" i="21"/>
  <c r="J61"/>
  <c r="M24" i="22"/>
  <c r="N24"/>
  <c r="L23" i="24" s="1"/>
  <c r="N23" s="1"/>
  <c r="O23" s="1"/>
  <c r="N62" i="22"/>
  <c r="L61" i="24" s="1"/>
  <c r="N61" s="1"/>
  <c r="O61" s="1"/>
  <c r="M62" i="22"/>
  <c r="H42" i="38"/>
  <c r="K42" s="1"/>
  <c r="J42"/>
  <c r="H47"/>
  <c r="K47" s="1"/>
  <c r="J47"/>
  <c r="K95"/>
  <c r="K29" i="21"/>
  <c r="J29"/>
  <c r="G31" i="47"/>
  <c r="G35" s="1"/>
  <c r="H22" i="18" s="1"/>
  <c r="E67" i="20"/>
  <c r="E69" s="1"/>
  <c r="E38" s="1"/>
  <c r="H84" i="24"/>
  <c r="O31"/>
  <c r="G83" i="21"/>
  <c r="K59"/>
  <c r="J59"/>
  <c r="K63"/>
  <c r="J63"/>
  <c r="K75"/>
  <c r="I81"/>
  <c r="K79"/>
  <c r="J79"/>
  <c r="M61" i="22"/>
  <c r="N61"/>
  <c r="H68"/>
  <c r="H16" i="23"/>
  <c r="M13"/>
  <c r="M16" s="1"/>
  <c r="H27"/>
  <c r="M19"/>
  <c r="M27" s="1"/>
  <c r="M85"/>
  <c r="M87" s="1"/>
  <c r="H87"/>
  <c r="K35" i="25"/>
  <c r="L35" s="1"/>
  <c r="I36"/>
  <c r="K36" s="1"/>
  <c r="L36" s="1"/>
  <c r="K14" i="38"/>
  <c r="J14"/>
  <c r="J26"/>
  <c r="K26"/>
  <c r="J34"/>
  <c r="H34"/>
  <c r="K34" s="1"/>
  <c r="J44"/>
  <c r="K44"/>
  <c r="J16" i="40"/>
  <c r="I19"/>
  <c r="K16"/>
  <c r="N22" i="22"/>
  <c r="L21" i="24" s="1"/>
  <c r="N21" s="1"/>
  <c r="O21" s="1"/>
  <c r="M22" i="22"/>
  <c r="N73"/>
  <c r="L72" i="24" s="1"/>
  <c r="N72" s="1"/>
  <c r="O72" s="1"/>
  <c r="H85" i="22"/>
  <c r="M73"/>
  <c r="M62" i="23"/>
  <c r="J16" i="38"/>
  <c r="K16"/>
  <c r="J18"/>
  <c r="E61" i="16"/>
  <c r="O63" i="24"/>
  <c r="O91" s="1"/>
  <c r="J92" i="38"/>
  <c r="M38" i="46"/>
  <c r="M40" s="1"/>
  <c r="H40"/>
  <c r="H38"/>
  <c r="N19" i="24"/>
  <c r="G60" i="20"/>
  <c r="H50"/>
  <c r="H60" s="1"/>
  <c r="M40" i="23"/>
  <c r="M46" s="1"/>
  <c r="H94" i="38"/>
  <c r="K103"/>
  <c r="O62" i="24"/>
  <c r="G62" i="20"/>
  <c r="H52"/>
  <c r="H62" s="1"/>
  <c r="J41" i="21"/>
  <c r="K41"/>
  <c r="N44" i="22"/>
  <c r="L43" i="24" s="1"/>
  <c r="N43" s="1"/>
  <c r="O43" s="1"/>
  <c r="M44" i="22"/>
  <c r="N66"/>
  <c r="L65" i="24" s="1"/>
  <c r="N65" s="1"/>
  <c r="O65" s="1"/>
  <c r="M66" i="22"/>
  <c r="H37" i="23"/>
  <c r="M30"/>
  <c r="M37" s="1"/>
  <c r="G38" i="38"/>
  <c r="J25"/>
  <c r="H25"/>
  <c r="J63"/>
  <c r="H63"/>
  <c r="H81"/>
  <c r="J81"/>
  <c r="O40" i="24"/>
  <c r="K60" i="21"/>
  <c r="J60"/>
  <c r="N19" i="22"/>
  <c r="M19"/>
  <c r="M31"/>
  <c r="N31"/>
  <c r="L30" i="24" s="1"/>
  <c r="N30" s="1"/>
  <c r="O30" s="1"/>
  <c r="M65" i="22"/>
  <c r="N65"/>
  <c r="L64" i="24" s="1"/>
  <c r="N64" s="1"/>
  <c r="O64" s="1"/>
  <c r="J11" i="38"/>
  <c r="H15"/>
  <c r="H23" s="1"/>
  <c r="G23"/>
  <c r="K27"/>
  <c r="J27"/>
  <c r="H68"/>
  <c r="K68" s="1"/>
  <c r="J68"/>
  <c r="K17" i="40"/>
  <c r="J17"/>
  <c r="J29" i="38"/>
  <c r="D26" i="34"/>
  <c r="D22"/>
  <c r="D15"/>
  <c r="D17"/>
  <c r="D16"/>
  <c r="D25"/>
  <c r="D24"/>
  <c r="D19"/>
  <c r="D18"/>
  <c r="D23"/>
  <c r="K15" i="21"/>
  <c r="J15"/>
  <c r="K37"/>
  <c r="J37"/>
  <c r="N30" i="22"/>
  <c r="M30"/>
  <c r="H37"/>
  <c r="H46"/>
  <c r="N42"/>
  <c r="L41" i="24" s="1"/>
  <c r="N41" s="1"/>
  <c r="O41" s="1"/>
  <c r="M42" i="22"/>
  <c r="M46" s="1"/>
  <c r="J21" i="38"/>
  <c r="K21"/>
  <c r="H31"/>
  <c r="K31" s="1"/>
  <c r="J31"/>
  <c r="H40"/>
  <c r="G49"/>
  <c r="J75"/>
  <c r="K75"/>
  <c r="J83"/>
  <c r="H83"/>
  <c r="K83" s="1"/>
  <c r="K12" i="14"/>
  <c r="J18"/>
  <c r="K18" s="1"/>
  <c r="J17"/>
  <c r="H26" i="24"/>
  <c r="O59"/>
  <c r="O73"/>
  <c r="O79"/>
  <c r="O92" s="1"/>
  <c r="E40" i="20"/>
  <c r="J98" i="38"/>
  <c r="H32" i="16"/>
  <c r="H34" s="1"/>
  <c r="H37" s="1"/>
  <c r="B16" i="12"/>
  <c r="G64" i="16"/>
  <c r="G69" i="38"/>
  <c r="H69" s="1"/>
  <c r="G65"/>
  <c r="H65" s="1"/>
  <c r="H22" i="50"/>
  <c r="F16" i="17"/>
  <c r="H16" s="1"/>
  <c r="F31"/>
  <c r="H31" s="1"/>
  <c r="I38" i="46"/>
  <c r="I40" s="1"/>
  <c r="G58" i="16"/>
  <c r="F17" i="17"/>
  <c r="H17" s="1"/>
  <c r="F20"/>
  <c r="H20" s="1"/>
  <c r="K27" i="21"/>
  <c r="J38"/>
  <c r="I31" i="40"/>
  <c r="K21"/>
  <c r="M32" i="22"/>
  <c r="N75"/>
  <c r="L74" i="24" s="1"/>
  <c r="N74" s="1"/>
  <c r="O74" s="1"/>
  <c r="D43" i="21"/>
  <c r="I43" s="1"/>
  <c r="M82" i="22"/>
  <c r="N21"/>
  <c r="L20" i="24" s="1"/>
  <c r="N20" s="1"/>
  <c r="O20" s="1"/>
  <c r="K10" i="38"/>
  <c r="F71" i="23"/>
  <c r="F89" s="1"/>
  <c r="I71" i="38"/>
  <c r="K34" i="21"/>
  <c r="G41" i="24"/>
  <c r="H41" s="1"/>
  <c r="H45" s="1"/>
  <c r="B17" i="12"/>
  <c r="D17" s="1"/>
  <c r="I41" i="38"/>
  <c r="M72" i="22"/>
  <c r="M85" s="1"/>
  <c r="H25"/>
  <c r="J8" i="12"/>
  <c r="J29"/>
  <c r="F17" i="14"/>
  <c r="K11" i="12"/>
  <c r="K19" s="1"/>
  <c r="F60" i="20"/>
  <c r="F64" s="1"/>
  <c r="F67" s="1"/>
  <c r="F69" s="1"/>
  <c r="F38" s="1"/>
  <c r="F40" s="1"/>
  <c r="F63"/>
  <c r="I64" i="38"/>
  <c r="I72"/>
  <c r="I74"/>
  <c r="I76"/>
  <c r="I102"/>
  <c r="D50" i="23"/>
  <c r="G53" i="20"/>
  <c r="G63" s="1"/>
  <c r="G99" i="38"/>
  <c r="H99" s="1"/>
  <c r="K99" s="1"/>
  <c r="H18" i="50"/>
  <c r="F29" i="17"/>
  <c r="H29" s="1"/>
  <c r="F12"/>
  <c r="K36" i="21"/>
  <c r="K14" i="14"/>
  <c r="D38" i="38"/>
  <c r="G54" i="20"/>
  <c r="G86" i="38"/>
  <c r="H86" s="1"/>
  <c r="F32" i="17"/>
  <c r="H32" s="1"/>
  <c r="J24" i="40"/>
  <c r="J27" i="21"/>
  <c r="G54" i="16"/>
  <c r="N33" i="22"/>
  <c r="L32" i="24" s="1"/>
  <c r="N32" s="1"/>
  <c r="O32" s="1"/>
  <c r="F13" i="17"/>
  <c r="H13" s="1"/>
  <c r="F19"/>
  <c r="H19" s="1"/>
  <c r="F26"/>
  <c r="N34" i="22"/>
  <c r="L33" i="24" s="1"/>
  <c r="N33" s="1"/>
  <c r="O33" s="1"/>
  <c r="J26" i="40"/>
  <c r="H16" i="14"/>
  <c r="K16" s="1"/>
  <c r="I36" i="38"/>
  <c r="I38" s="1"/>
  <c r="H19" i="12"/>
  <c r="J19" s="1"/>
  <c r="J44"/>
  <c r="J7"/>
  <c r="C16"/>
  <c r="I35"/>
  <c r="J35" s="1"/>
  <c r="I15" i="38"/>
  <c r="I67"/>
  <c r="G63" i="16"/>
  <c r="G95" i="38"/>
  <c r="J95" s="1"/>
  <c r="G55" i="16"/>
  <c r="F15" i="17"/>
  <c r="H15" s="1"/>
  <c r="F35"/>
  <c r="H35" s="1"/>
  <c r="F34"/>
  <c r="H34" s="1"/>
  <c r="F14"/>
  <c r="H14" s="1"/>
  <c r="F33"/>
  <c r="H33" s="1"/>
  <c r="J40" i="21"/>
  <c r="N83" i="22"/>
  <c r="L82" i="24" s="1"/>
  <c r="N82" s="1"/>
  <c r="O82" s="1"/>
  <c r="J25" i="12"/>
  <c r="I97" i="38"/>
  <c r="G101"/>
  <c r="H101" s="1"/>
  <c r="K101" s="1"/>
  <c r="H19" i="50"/>
  <c r="F30" i="17"/>
  <c r="H30" s="1"/>
  <c r="D23" i="38"/>
  <c r="G65" i="16"/>
  <c r="G61"/>
  <c r="H20" i="50"/>
  <c r="N46" i="22"/>
  <c r="F18" i="17"/>
  <c r="H18" s="1"/>
  <c r="J65" i="38" l="1"/>
  <c r="J69"/>
  <c r="J96"/>
  <c r="J34" i="12"/>
  <c r="D107" i="38"/>
  <c r="G34" i="20"/>
  <c r="G36" s="1"/>
  <c r="K17" i="38"/>
  <c r="J66"/>
  <c r="H86" i="24"/>
  <c r="H90" s="1"/>
  <c r="M28" i="47"/>
  <c r="H71" i="23"/>
  <c r="H16" i="22"/>
  <c r="F83" i="21"/>
  <c r="I25" i="12"/>
  <c r="J43"/>
  <c r="M71" i="23"/>
  <c r="M89" s="1"/>
  <c r="M13" i="22"/>
  <c r="M16" s="1"/>
  <c r="J29" i="14"/>
  <c r="J31" s="1"/>
  <c r="J73" i="38"/>
  <c r="M68" i="22"/>
  <c r="M29" i="47"/>
  <c r="O84" i="24"/>
  <c r="E35" i="50"/>
  <c r="J52" i="12"/>
  <c r="H31" i="47"/>
  <c r="H35" s="1"/>
  <c r="H23" i="18" s="1"/>
  <c r="J35" i="50"/>
  <c r="M31" i="47" s="1"/>
  <c r="O36" i="24"/>
  <c r="J64" i="38"/>
  <c r="K64"/>
  <c r="I79"/>
  <c r="K40"/>
  <c r="H49"/>
  <c r="H38"/>
  <c r="K25"/>
  <c r="L60" i="24"/>
  <c r="N60" s="1"/>
  <c r="O60" s="1"/>
  <c r="O67" s="1"/>
  <c r="N68" i="22"/>
  <c r="K17" i="14"/>
  <c r="G105" i="38"/>
  <c r="L37" i="25"/>
  <c r="H31" i="26" s="1"/>
  <c r="F31" i="35" s="1"/>
  <c r="H31" s="1"/>
  <c r="J97" i="38"/>
  <c r="K97"/>
  <c r="F37" i="17"/>
  <c r="H26"/>
  <c r="H38" s="1"/>
  <c r="I42" s="1"/>
  <c r="K41" i="38"/>
  <c r="I49"/>
  <c r="J41"/>
  <c r="G68" i="16"/>
  <c r="G72" s="1"/>
  <c r="H21" i="15" s="1"/>
  <c r="D16" i="12"/>
  <c r="O45" i="24"/>
  <c r="G79" i="38"/>
  <c r="G107" s="1"/>
  <c r="J99"/>
  <c r="J37" i="16"/>
  <c r="J39" s="1"/>
  <c r="H11" i="15" s="1"/>
  <c r="H37" s="1"/>
  <c r="H33" i="18" s="1"/>
  <c r="G33" s="1"/>
  <c r="I83" i="21"/>
  <c r="H89" i="23"/>
  <c r="H29" i="20" s="1"/>
  <c r="J15" i="38"/>
  <c r="K15"/>
  <c r="M25" i="22"/>
  <c r="M27" s="1"/>
  <c r="N25"/>
  <c r="L24" i="24" s="1"/>
  <c r="N24" s="1"/>
  <c r="O24" s="1"/>
  <c r="H79" i="38"/>
  <c r="K63"/>
  <c r="D83" i="21"/>
  <c r="G64" i="20"/>
  <c r="I105" i="38"/>
  <c r="G86" i="24"/>
  <c r="O19"/>
  <c r="J72" i="38"/>
  <c r="K72"/>
  <c r="K67"/>
  <c r="J67"/>
  <c r="F21" i="17"/>
  <c r="H12"/>
  <c r="H22" s="1"/>
  <c r="J74" i="38"/>
  <c r="K74"/>
  <c r="G88"/>
  <c r="H64" i="20"/>
  <c r="I33" i="40"/>
  <c r="H55" i="20"/>
  <c r="J71" i="38"/>
  <c r="K71"/>
  <c r="K81"/>
  <c r="H88"/>
  <c r="N85" i="22"/>
  <c r="K17" i="12"/>
  <c r="G55" i="20"/>
  <c r="K76" i="38"/>
  <c r="J76"/>
  <c r="J102"/>
  <c r="K102"/>
  <c r="J32" i="14"/>
  <c r="K31"/>
  <c r="K32" s="1"/>
  <c r="H35" i="18" s="1"/>
  <c r="I23" i="38"/>
  <c r="H27" i="22"/>
  <c r="H87" s="1"/>
  <c r="H28" i="20" s="1"/>
  <c r="H34" s="1"/>
  <c r="H36" s="1"/>
  <c r="J36" i="38"/>
  <c r="K36"/>
  <c r="H96" i="24"/>
  <c r="K9" i="25"/>
  <c r="K14" s="1"/>
  <c r="N37" i="22"/>
  <c r="M37"/>
  <c r="N27"/>
  <c r="J101" i="38"/>
  <c r="H105"/>
  <c r="H29" i="18"/>
  <c r="H107" i="38" l="1"/>
  <c r="H10" i="26" s="1"/>
  <c r="F13" i="35" s="1"/>
  <c r="O26" i="24"/>
  <c r="M87" i="22"/>
  <c r="M35" i="47"/>
  <c r="N87" i="22"/>
  <c r="I107" i="38"/>
  <c r="F25" i="35"/>
  <c r="H22" i="26"/>
  <c r="H65" i="20"/>
  <c r="H67" s="1"/>
  <c r="H69" s="1"/>
  <c r="H38" s="1"/>
  <c r="G33" i="34" s="1"/>
  <c r="H35" s="1"/>
  <c r="H57" i="20"/>
  <c r="H68" s="1"/>
  <c r="G32" i="18"/>
  <c r="G38" s="1"/>
  <c r="G50" s="1"/>
  <c r="I44" i="17"/>
  <c r="H32" i="18" s="1"/>
  <c r="H38" s="1"/>
  <c r="L86" i="24"/>
  <c r="O86"/>
  <c r="O90" s="1"/>
  <c r="L14" i="25"/>
  <c r="G57" i="20"/>
  <c r="G65"/>
  <c r="G67" s="1"/>
  <c r="N86" i="24"/>
  <c r="H40" i="20" l="1"/>
  <c r="H36" i="34" s="1"/>
  <c r="H38" s="1"/>
  <c r="H46" s="1"/>
  <c r="H42" i="26"/>
  <c r="H44" s="1"/>
  <c r="H50" i="18"/>
  <c r="H8" i="26" s="1"/>
  <c r="H13" i="35"/>
  <c r="J15" i="25"/>
  <c r="O96" i="24"/>
  <c r="H11" i="26" s="1"/>
  <c r="H43" i="20"/>
  <c r="H25" i="35"/>
  <c r="G17"/>
  <c r="G19" s="1"/>
  <c r="G21" s="1"/>
  <c r="G68" i="20"/>
  <c r="G69" s="1"/>
  <c r="G38" s="1"/>
  <c r="G40" s="1"/>
  <c r="I23" i="19" l="1"/>
  <c r="H47" i="34" s="1"/>
  <c r="H49" s="1"/>
  <c r="I20" i="19"/>
  <c r="I25" s="1"/>
  <c r="I34" s="1"/>
  <c r="H14" i="26" s="1"/>
  <c r="F17" i="35" s="1"/>
  <c r="H17" s="1"/>
  <c r="G43" i="20"/>
  <c r="H20" i="19" s="1"/>
  <c r="K15" i="25"/>
  <c r="K19" s="1"/>
  <c r="L15"/>
  <c r="L20" s="1"/>
  <c r="H28" i="26" s="1"/>
  <c r="F14" i="35"/>
  <c r="F11"/>
  <c r="H43"/>
  <c r="H45" s="1"/>
  <c r="H23" i="19" l="1"/>
  <c r="H25" s="1"/>
  <c r="H34" s="1"/>
  <c r="F21" i="35"/>
  <c r="H11"/>
  <c r="F29"/>
  <c r="H33" i="26"/>
  <c r="H36" s="1"/>
  <c r="H40" s="1"/>
  <c r="H47" s="1"/>
  <c r="H14" i="35"/>
  <c r="H19" s="1"/>
  <c r="F19"/>
  <c r="H15" i="26"/>
  <c r="H17" s="1"/>
  <c r="H49" s="1"/>
  <c r="H21" i="35" l="1"/>
  <c r="H50" s="1"/>
  <c r="H29"/>
  <c r="H33" s="1"/>
  <c r="H37" s="1"/>
  <c r="H41" s="1"/>
  <c r="H48" s="1"/>
  <c r="H52" s="1"/>
  <c r="G54" s="1"/>
  <c r="F33"/>
  <c r="H51" i="26"/>
  <c r="G53" s="1"/>
</calcChain>
</file>

<file path=xl/sharedStrings.xml><?xml version="1.0" encoding="utf-8"?>
<sst xmlns="http://schemas.openxmlformats.org/spreadsheetml/2006/main" count="2597" uniqueCount="1339">
  <si>
    <t xml:space="preserve">Class: </t>
  </si>
  <si>
    <t>(You must specify a class before the utility list will populate.)</t>
  </si>
  <si>
    <t>Utility Name:</t>
  </si>
  <si>
    <t>Test Year:</t>
  </si>
  <si>
    <t>After you lock down the spreadsheet you must save and exit before sending the file to the utility.</t>
  </si>
  <si>
    <t>ID Number</t>
  </si>
  <si>
    <t>Year</t>
  </si>
  <si>
    <t>Class</t>
  </si>
  <si>
    <t>Actual</t>
  </si>
  <si>
    <t>Residential</t>
  </si>
  <si>
    <t>Industrial</t>
  </si>
  <si>
    <t>Public Authority</t>
  </si>
  <si>
    <t>Public Service Commission Of Wisconsin</t>
  </si>
  <si>
    <t xml:space="preserve">Application To Increase Water Rates </t>
  </si>
  <si>
    <t xml:space="preserve">Utility Name: </t>
  </si>
  <si>
    <t xml:space="preserve">Test Year: </t>
  </si>
  <si>
    <t>Water Rate Increase Application Steps:</t>
  </si>
  <si>
    <t>Form #3024 - Application To Increase Rates Form</t>
  </si>
  <si>
    <t>Hearing - Telephonic Hearing Information</t>
  </si>
  <si>
    <t>Attachment 1 - Listing Of Largest Customers Billed During the Latest 12 Months</t>
  </si>
  <si>
    <t>Attachment 4 - Public Fire Protection Revenue Test Year (Summary)</t>
  </si>
  <si>
    <t>Attachment 5 - Public Fire Protection Revenue Test Year (Detail)</t>
  </si>
  <si>
    <t>Attachment 6 - Private Fire Protection Revenue Test Year</t>
  </si>
  <si>
    <t>Attachment 7 - Operating Revenues Test Year (Summary)</t>
  </si>
  <si>
    <t>Attachment 8 - Taxes Test Year Summary</t>
  </si>
  <si>
    <t>Attachment 9 - Property Tax Equivalent Computation</t>
  </si>
  <si>
    <t>Attachment 11 - Utility Plant in Service</t>
  </si>
  <si>
    <t>Attachment 11a - Contributed Plant</t>
  </si>
  <si>
    <t>Attachment 12 - Depreciation Accrual and Expenses</t>
  </si>
  <si>
    <t>Attachment 13 - Accumulated Depreciation, Contributions In Aid of Construction and Materials &amp; Supplies</t>
  </si>
  <si>
    <t>Attachment 14 - Estimated Rate Base and Increase Requested</t>
  </si>
  <si>
    <t>Attachment 15 - Financing and Debt Summary</t>
  </si>
  <si>
    <t>Attachment 17 - Miscellaneous Information</t>
  </si>
  <si>
    <t>Attachment 19 - Notes</t>
  </si>
  <si>
    <t>Attachment 20 - Step II Increase Requested (only applies to utilities requesting a two step rate case)</t>
  </si>
  <si>
    <t>Attachment 21 - Step II Summary</t>
  </si>
  <si>
    <t>Attachment 22 - Step II Notes</t>
  </si>
  <si>
    <t xml:space="preserve">INSTRUCTIONS FOR COMPLETING AN APPLICATION TO INCREASE WATER RATES </t>
  </si>
  <si>
    <t xml:space="preserve">Clicking on an Attachment listed below will take you directly to the instruction narrative </t>
  </si>
  <si>
    <t>Form #3024 – Application to Increase Rates Form</t>
  </si>
  <si>
    <t>Hearing – Telephonic Hearing Information</t>
  </si>
  <si>
    <t>Attachment 1 – Listing of Largest Customers Billed During Latest 12 Months</t>
  </si>
  <si>
    <t>Attachment 4 – Public Fire Protection Revenue-Test Year (Summary)</t>
  </si>
  <si>
    <t>Attachment 5 – Public Fire Protection Revenue-Test Year (Detail)</t>
  </si>
  <si>
    <t>Attachment 6 – Private Fire Protection Revenue-Test Year</t>
  </si>
  <si>
    <t>Attachment 7 – Operating Revenues-Test Year (Summary)</t>
  </si>
  <si>
    <t>Attachment 8 – Taxes-Test Year Summary</t>
  </si>
  <si>
    <t>Attachment 10 – Operating Expenses</t>
  </si>
  <si>
    <t>Attachment 11 and 11a– Utility Plant in Service</t>
  </si>
  <si>
    <t>Attachment 12 – Depreciation Accrual and Expenses</t>
  </si>
  <si>
    <t>Attachment 14 – Estimated Rate Base and Increase Requested</t>
  </si>
  <si>
    <t>Attachment 15 – Financing and Debt Summary</t>
  </si>
  <si>
    <t>Attachment 17 – Miscellaneous Information</t>
  </si>
  <si>
    <t>Attachment 22 – Step II Notes</t>
  </si>
  <si>
    <t>Run Final Edit</t>
  </si>
  <si>
    <t>a.</t>
  </si>
  <si>
    <t>The electronic application is for an increase in water rates only.  If the utility wants to request a sewer rate increase, use the PSC Web Site to request an application or call the PSC at (608) 266-5991.</t>
  </si>
  <si>
    <t>b.</t>
  </si>
  <si>
    <t>A short statement is required indicating the reason for the rate increase request.</t>
  </si>
  <si>
    <t>c.</t>
  </si>
  <si>
    <t>Complete the section for persons that can be contacted regarding this application.</t>
  </si>
  <si>
    <t>d.</t>
  </si>
  <si>
    <t>e.</t>
  </si>
  <si>
    <t xml:space="preserve">Instructions for completion are contained within the form. </t>
  </si>
  <si>
    <t>List the billed units consistent with Schedule Mg-1 in your tariff sheets.</t>
  </si>
  <si>
    <t>During the last 12 month period, identify the highest consumption billed for each of the four largest customers in each class.</t>
  </si>
  <si>
    <t>Instructions for completing Part 2 are contained within the form.</t>
  </si>
  <si>
    <t xml:space="preserve"> </t>
  </si>
  <si>
    <t>If the utility uses a non-computerized billing program, contact the PSC for assistance in how to determine the volume distribution into rate blocks.</t>
  </si>
  <si>
    <t>Units are the total of all units billed, net of any adjustments, for the latest 12 months.</t>
  </si>
  <si>
    <t>f.</t>
  </si>
  <si>
    <t>g.</t>
  </si>
  <si>
    <t>This schedule lists sales by volume and average customer count for the test year plus the previous 5 years.  Test year amounts are derived from Attachment 3 of the water rate increase application whereas the previous 5 years are derived from Page W-02, Sales of Water, contained in the PSC annual report.</t>
  </si>
  <si>
    <t>Details concerning any large changes from year to year in usage and average customer count should be explained in the Notes (Attachment 19).</t>
  </si>
  <si>
    <t>Complete details concerning the gain or loss of any large customer should be explained in the Notes (Attachment 19).</t>
  </si>
  <si>
    <t>Changes in usage by large customers and variations in usage by all customers due to weather should also be considered.</t>
  </si>
  <si>
    <t>If necessary, please describe unusual situations in the Notes (Attachment 19).</t>
  </si>
  <si>
    <t>should be explained in the Notes (Attachment 19).</t>
  </si>
  <si>
    <t>Attachment 4 – Public Fire Protection Revenue-Test Year Summary</t>
  </si>
  <si>
    <t>This schedule is a summary of various methods of charging for Public Fire Protection.</t>
  </si>
  <si>
    <t>For a Municipal Charge based upon mains and/or hydrants or Direct Charges to Customers based upon equivalent meters or equivalent services, the test year estimate is derived from Attachment 5.</t>
  </si>
  <si>
    <t>For all other charges, insert the test year estimate in the amount column.</t>
  </si>
  <si>
    <r>
      <t xml:space="preserve">For Direct Charges to Customers based upon a method </t>
    </r>
    <r>
      <rPr>
        <b/>
        <i/>
        <u/>
        <sz val="10"/>
        <color indexed="10"/>
        <rFont val="Arial"/>
        <family val="2"/>
      </rPr>
      <t>other than</t>
    </r>
    <r>
      <rPr>
        <sz val="10"/>
        <rFont val="Arial"/>
        <family val="2"/>
      </rPr>
      <t xml:space="preserve"> equivalent meters or equivalent services, </t>
    </r>
    <r>
      <rPr>
        <b/>
        <i/>
        <u/>
        <sz val="10"/>
        <color indexed="10"/>
        <rFont val="Arial"/>
        <family val="2"/>
      </rPr>
      <t>detail must be submitted to the PSC supporting this method</t>
    </r>
    <r>
      <rPr>
        <b/>
        <i/>
        <u/>
        <sz val="10"/>
        <color indexed="18"/>
        <rFont val="Arial"/>
        <family val="2"/>
      </rPr>
      <t>.</t>
    </r>
  </si>
  <si>
    <t>Attachment 5 – Public Fire Protection Revenue-Test Year Detail</t>
  </si>
  <si>
    <t>i.    Base units and charges are obtained from the current tariff sheet, typically Schedule F-1.</t>
  </si>
  <si>
    <t>ii.   Net additions for mains and hydrants units are derived from Attachment 17, Part One.</t>
  </si>
  <si>
    <t>Attachment 6 – Private Fire Protection Revenue-Test Year Detail</t>
  </si>
  <si>
    <t>To compute the test year Private Fire Protection Revenue, complete the applicable sections.</t>
  </si>
  <si>
    <t>The Authorized Rates are obtained from the current tariff sheet, typically Schedule Upf-1.</t>
  </si>
  <si>
    <t>Enter the test year Average Number of Connections, based on size of the connection.</t>
  </si>
  <si>
    <t>Where a credit is authorized for general service branches off the private fire connection, list the average number of meters each billing period that meet the criteria.</t>
  </si>
  <si>
    <t>The authorized meter rates in this section are derived from Attachment 3.</t>
  </si>
  <si>
    <t>If a credit is authorized for general service branches, enter the appropriate percent in the highlighted area.</t>
  </si>
  <si>
    <t>h.</t>
  </si>
  <si>
    <t>Attachment 7 – Operating Revenues-Test Year Summary</t>
  </si>
  <si>
    <t>Test year revenue estimated amounts are derived for the following:  Metered Sales to General Customers; Private Fire Protection; and Public Fire Protection.</t>
  </si>
  <si>
    <t>“Interim year” and other test year estimates should be based upon historical trends and other relevant information.</t>
  </si>
  <si>
    <t>The test year and interim year amounts are derived for the Property Tax Equivalent Payable for the Year, and the Local and School Tax Equivalent on Meters Charged to the Sewer Department (sewer meter allocation).</t>
  </si>
  <si>
    <t>The test year and interim year meter allocations to the sewer department are based upon 50 percent of the beginning of year meter balance (Attachment 11, Account 346), the assessment ratio (Attachment 9) and the current year net local and school mill rate (Attachment 9).</t>
  </si>
  <si>
    <t>i.   If the meter allocation is other than 50 percent, insert the appropriate percentage in the cell formula.</t>
  </si>
  <si>
    <t xml:space="preserve">ii.  If the sewer department does not use the water utility’s meter readings in determining the sewer billing, then enter 0 (zero). </t>
  </si>
  <si>
    <t xml:space="preserve">If necessary, please describe unusual situations in the Notes (Attachment 19). </t>
  </si>
  <si>
    <t xml:space="preserve">If the municipality has authorized an amount as allowed by Wis. Stat. §66.0811(2), explain fully the circumstances in the Notes (Attachment 19). </t>
  </si>
  <si>
    <t xml:space="preserve">A historical three-year average is provided.  If expenses fluctuate from year to year, the average can be helpful when determining the interim and test year estimates. </t>
  </si>
  <si>
    <t>If either the interim or test year estimate varies from the three-year average by more than plus or minus 15 percent, the cause(s) must be explained in the Notes (Attachment 19).</t>
  </si>
  <si>
    <t>Large expenses that infrequently occur, such as for well rehab or pump repairs, should be normalized as part of the test year estimated expense.</t>
  </si>
  <si>
    <t>A schedule showing each individual water reservoir/tower detailing the last date and cost of repainting or repair is required to be completed in the Notes, (Attachment 19).  The average annual cost should be normalized as part of the test year estimated expense.</t>
  </si>
  <si>
    <t xml:space="preserve">If the utility is requesting that any of the plant additions be treated as major projects, use the column titled “Major Construction Additions”.  Major project treatment results in full effect when calculating the test year tax equivalent expense, depreciation expense, and rate base components. </t>
  </si>
  <si>
    <t>Major projects are those that represent very large costs for the utility, occur infrequently, and typically require construction approval from the PSC.  Projects which occur frequently, such as an ongoing water main replacement programs, may be costly but are considered routine and are not major projects.</t>
  </si>
  <si>
    <t>If a part or all of a major project will not be placed into service until after the end of test year, that portion of the project must be  considered in Step II (See Attachments 20 -22).</t>
  </si>
  <si>
    <t>If the utility has a major project that will be constructed over several years before it is placed in service, the utility may qualify for an addition to the rate of return during the construction period.  If this situation occurs, contact the PSC for further information.</t>
  </si>
  <si>
    <t>The units added or retired for feet of main and number of hydrants must be provided in Attachment 17.</t>
  </si>
  <si>
    <t>DO NOT INCLUDE CONTRIBUTED PLANT TRANSACTIONS IN ATTACHMENT 11.</t>
  </si>
  <si>
    <t>Depreciation on contributed plant will not be included in expenses for rate making purposes.</t>
  </si>
  <si>
    <t>Contributed Plant additions and retirements are shown in Attachment 11a only.</t>
  </si>
  <si>
    <t xml:space="preserve">The interim year depreciation accrual is based the utility's current depreciation rates.  The individual depreciation rates must be entered in column (A). </t>
  </si>
  <si>
    <t>Depreciation Rates (B) are based upon the PSC Recommended Rate Benchmarks.  If any rate other than the benchmark will be used for the test year, the rate should be entered.</t>
  </si>
  <si>
    <t>Enter the appropriate information at the bottom of the schedule to reconcile the depreciation accrual to the estimated depreciation expense.</t>
  </si>
  <si>
    <t xml:space="preserve">Major Construction Additions shown in Attachment 11 result in a full year depreciation accrual and expense effect for the test year. </t>
  </si>
  <si>
    <t>For Accumulated Depreciation, the retirements and the annual accruals are derived from Attachments 11 and 12, respectively.  For estimated salvage and cost of removal for the interim and the test years, enter the estimated transactions.</t>
  </si>
  <si>
    <t>For Materials and Supplies, enter the estimated year-end balances.  An increase or decrease in the interim or test year of more than 15 percent must be explained in the Notes (Attachment 19).</t>
  </si>
  <si>
    <t>Attachment 14 – Estimated Rate Base, Requested Rate of Return and Increase Requested</t>
  </si>
  <si>
    <t>Part One calculates the net operating income (loss) for the test year.  All amounts are derived from other attachments except Amortization Expense, Account 404, which, if applicable, must be entered and the purpose specified.</t>
  </si>
  <si>
    <t>Part Two is a calculation of the Average Net Investment Rate Base for the test year.  All amounts are derived from other attachments.</t>
  </si>
  <si>
    <t>Part Three calculates the estimated requested increase.</t>
  </si>
  <si>
    <t>i.   Enter a requested rate of return (ROR) in the highlighted box and the estimated increase is calculated.</t>
  </si>
  <si>
    <t xml:space="preserve">iii.  If the PSC determines that the requested ROR is not within this guideline, or requires use of other criteria, the PSC may recommend a different ROR. </t>
  </si>
  <si>
    <t>Identify the sources of financing plant additions for the interim and the test years.  Use the descriptions provided or specify other types of financing.</t>
  </si>
  <si>
    <t xml:space="preserve">List the utility’s debt issues.  Use only one line for each existing and estimated new debt issue. </t>
  </si>
  <si>
    <t>i.   Include the corresponding annual interest, either accrued or payable, for each issue.</t>
  </si>
  <si>
    <t>ii.  A summary in total is acceptable if the utility has debt information available by issue and can scan and/or insert the information to this Attachment.  An attachment filed on ERF is also acceptable.</t>
  </si>
  <si>
    <t xml:space="preserve">  iii. All debt issues for all utility departments and non-utility sewer departments reported in the PSC annual report must be included unless a separate balance sheet and income statement are provided.</t>
  </si>
  <si>
    <t>This attachment requests information about impact fees.  If the utility has impact fees, please complete the schedule.</t>
  </si>
  <si>
    <t xml:space="preserve">Attachment 17 – Miscellaneous </t>
  </si>
  <si>
    <t>Indicate the utility's preferred method for lateral installation charges.</t>
  </si>
  <si>
    <t>Enter the method for delinquent bill charges.</t>
  </si>
  <si>
    <t xml:space="preserve">Indicate whether the utility would like to include any Other/Miscellaneous Charges such as special billing, meter reading, missed appointment, or Non-sufficient funds charges. </t>
  </si>
  <si>
    <t>Indicate the method for recovering public fire protection charges.</t>
  </si>
  <si>
    <t>Indicate the prefered Mg-1 volumetric rate design for each customer class (residential and non-residential)</t>
  </si>
  <si>
    <t>g</t>
  </si>
  <si>
    <t>Space is available to request additional tariff changes.</t>
  </si>
  <si>
    <t>Instructions for completing this schedule are contained within the form.</t>
  </si>
  <si>
    <t>Attachment 19 – Notes</t>
  </si>
  <si>
    <t>This attachment is to be used to describe any assumptions used by the utility in forecasting, describing any unusual situations, significant variations from historical, etc., in Attachments 1-18.</t>
  </si>
  <si>
    <t xml:space="preserve">Each item must be referenced to the applicable Attachment number(s).  </t>
  </si>
  <si>
    <t>Attachment 20 – Step II Major Plant Detail</t>
  </si>
  <si>
    <t>If a part or all of a major project will not be placed into service until after the end of test year, that portion of the project must be considered in Step II.</t>
  </si>
  <si>
    <t>If a major project will be completed (even though final costs will be paid later) and placed into service before the end of the test year, then the entire major project costs should be included in Attachment 11, and is not a Step II major project.</t>
  </si>
  <si>
    <t>Summary of Step II major plant additions:</t>
  </si>
  <si>
    <t>i.   Summarize, by plant account, the Step II plant additions.</t>
  </si>
  <si>
    <t>ii.   Insert the applicable depreciation rates (from Attachment 12).</t>
  </si>
  <si>
    <t>iii.  The depreciation expense will be calculated based upon the estimated plant and depreciation rates.</t>
  </si>
  <si>
    <t xml:space="preserve"> If any of the Step II additions are outside the municipal boundaries, insert the amount in the space provided.</t>
  </si>
  <si>
    <t>The Calculated Tax Equivalent—Step II is based upon the net taxable plant, the test year assessment ratio (from Attachment 9), and the net local and school rate (from Attachment 9).</t>
  </si>
  <si>
    <r>
      <t xml:space="preserve">If the municipality has authorized an amount as allowed by Wis. Stat. § 66.0811(2), enter that amount.  If no authorization, leave </t>
    </r>
    <r>
      <rPr>
        <b/>
        <sz val="10"/>
        <rFont val="Arial"/>
        <family val="2"/>
      </rPr>
      <t>blank</t>
    </r>
    <r>
      <rPr>
        <sz val="10"/>
        <rFont val="Arial"/>
        <family val="2"/>
      </rPr>
      <t xml:space="preserve">. </t>
    </r>
  </si>
  <si>
    <t>If dollars are added for mains and/or hydrants, the units added or retired for feet of main and number of hydrants must be provided.</t>
  </si>
  <si>
    <t>i.   </t>
  </si>
  <si>
    <t xml:space="preserve">If necessary, please describe unusual situations in the Step II Notes (Attachment 22). </t>
  </si>
  <si>
    <t>Attachment 21 – Step II Summary</t>
  </si>
  <si>
    <t>This schedule summarizes information that represents Step I estimates for the test year and are derived from Attachment 14.</t>
  </si>
  <si>
    <t>The Step II Additional column has amounts derived from Attachment 20 for Depreciation Expense, Taxes, Utility Plant in Service, and Accumulated Depreciation.</t>
  </si>
  <si>
    <t>In Part One:</t>
  </si>
  <si>
    <t>i.   If additional revenue results from the Step II additions, include the amount in the Step II Additional column, describe in the Notes (Attachment 22).</t>
  </si>
  <si>
    <t>ii.  If additional operation and maintenance expense will be incurred as a result of the Step II plant additions, include the total in the Step II Additional column.  Provide detail as necessary, by expense account, in the Notes together with the assumptions used in arriving at the expense for each account.</t>
  </si>
  <si>
    <t>i.    Enter a requested rate of return (ROR) in the highlighted box and the estimated increase is calculated.</t>
  </si>
  <si>
    <t xml:space="preserve">ii.   Please note that the ROR in Step II can be different than requested in Attachment 14 (Step I). </t>
  </si>
  <si>
    <t>iii.  A guideline for a maximum ROR is to use the current market cost of 30-year municipal bonds plus 2.00 percent.</t>
  </si>
  <si>
    <t xml:space="preserve">iv.  If the PSC determines that the requested ROR is not within this guideline, or requires use of other criteria, the PSC may recommend a different ROR. </t>
  </si>
  <si>
    <t>v.   If you have questions about estimating the ROR, please call the PSC for assistance at (608) 266-5991.</t>
  </si>
  <si>
    <t xml:space="preserve">If necessary, please describe unusual situations in the Notes (Attachment 22). </t>
  </si>
  <si>
    <t>This attachment is to be used to describe any assumptions used by the utility in forecasting or describing any Step II items in Attachments 20 and 21.</t>
  </si>
  <si>
    <t>Describe, in particular, Step II additional revenue or operation and maintenance expense forecasted in Attachment 21.</t>
  </si>
  <si>
    <t>If necessary, include other general discussion that may be helpful regarding Step II items.</t>
  </si>
  <si>
    <t xml:space="preserve">The purpose of the Final Edit is to ensure information is reasonably completed for related attachments. </t>
  </si>
  <si>
    <t xml:space="preserve">Activating the Run Final Edit button, located on the Main Menu, will create a Final Edit List which can be viewed and printed. </t>
  </si>
  <si>
    <t>The Final Edit must be completed prior to submitting the application to the PSC.  RERUN as many times as necessary.</t>
  </si>
  <si>
    <t>Attachment 23 – Filing the Application to Increase Water Rates (Rate Application)</t>
  </si>
  <si>
    <t>using the PSC's Electronic Regulatory Filing (ERF) System</t>
  </si>
  <si>
    <t xml:space="preserve">All formal rate case applications and subsequent filings in those cases should be filed with the PSC in electronic form according to the instructions and guidelines found on the PSC’s Electronic Regulatory Filing (ERF) system web site at </t>
  </si>
  <si>
    <t>http://psc.wi.gov/apps35/erf_public/default.aspx to submit filings to the PSC.</t>
  </si>
  <si>
    <r>
      <t>General Information about the ERF system</t>
    </r>
    <r>
      <rPr>
        <b/>
        <sz val="10"/>
        <color indexed="18"/>
        <rFont val="Arial"/>
        <family val="2"/>
      </rPr>
      <t>:</t>
    </r>
  </si>
  <si>
    <t>An internet connection is required for uploading files, and Internet Explorer 5.0 or above.</t>
  </si>
  <si>
    <t xml:space="preserve">To submit filings to the PSC a user must create an account by specifying his or her name, email address, logon id and password.     </t>
  </si>
  <si>
    <r>
      <t>Individual accounts</t>
    </r>
    <r>
      <rPr>
        <sz val="10"/>
        <color indexed="18"/>
        <rFont val="Arial"/>
        <family val="2"/>
      </rPr>
      <t xml:space="preserve"> can be created by clicking on the "Setup Individual Account" hyperlink from the ERF Login Page.  Corporate accounts can only be created by the PSC's Record Management Unit (RMU).  Entities must complete a Corporate Electronic Filing Account Request in order to establish an account. </t>
    </r>
  </si>
  <si>
    <r>
      <t>Corporate accounts</t>
    </r>
    <r>
      <rPr>
        <sz val="10"/>
        <color indexed="18"/>
        <rFont val="Arial"/>
        <family val="2"/>
      </rPr>
      <t xml:space="preserve"> have been developed to allow an organization (e.g., utility, law firm, accounting firm, intervener, etc.) to identify users who are authorized to file on their behalf.   This is an optional service offered to corporate entities to allow them greater security in identifying authorized filers, but such entities are not required to use corporate accounts if individual accounts are satisfactory to them.</t>
    </r>
  </si>
  <si>
    <t>The rate case application is in Microsoft Excel and should be filed as an Excel file.  Do not convert Excel files to PDF.</t>
  </si>
  <si>
    <t>Adobe Acrobat is needed to convert other than Excel documents to PDF format.</t>
  </si>
  <si>
    <t>Abbreviated list of instructions to submit this rate application to the PSC:</t>
  </si>
  <si>
    <t>Type in a valid user name and password.</t>
  </si>
  <si>
    <t>To submit a new rate case, select the New / Non-Docket entry under File Document heading.</t>
  </si>
  <si>
    <t>Select the number of files to upload, and specify the utility these documents relate to.  When the screen repopulates, click the browse button in row 1 and select the file to upload.  Then specify the document type from the drop down list box and finally enter a meaningful description such as “Rate Increase Application for XYZ Water Utility”.</t>
  </si>
  <si>
    <t>Repeat this for each row on the screen.</t>
  </si>
  <si>
    <t>Click the Upload Docket Files button to submit the documents.</t>
  </si>
  <si>
    <r>
      <t xml:space="preserve">Once the docket is submitted it will be marked as pending which means that the document has been received by the PSC, but it has not been processed.  Staff of RMU will review the documents and approve or reject them.  </t>
    </r>
    <r>
      <rPr>
        <u/>
        <sz val="10"/>
        <color indexed="18"/>
        <rFont val="Arial"/>
        <family val="2"/>
      </rPr>
      <t>When the filings are processed the submitter will be notified via email</t>
    </r>
    <r>
      <rPr>
        <sz val="10"/>
        <color indexed="18"/>
        <rFont val="Arial"/>
        <family val="2"/>
      </rPr>
      <t>.  The email will include the document name, type, description, received date and file status.  If the filing was rejected, the reason for rejection will be included in the email.</t>
    </r>
  </si>
  <si>
    <t>i.</t>
  </si>
  <si>
    <r>
      <t xml:space="preserve">For any </t>
    </r>
    <r>
      <rPr>
        <u/>
        <sz val="10"/>
        <color indexed="18"/>
        <rFont val="Arial"/>
        <family val="2"/>
      </rPr>
      <t>questions about the technical functions of the ERF system</t>
    </r>
    <r>
      <rPr>
        <sz val="10"/>
        <color indexed="18"/>
        <rFont val="Arial"/>
        <family val="2"/>
      </rPr>
      <t>, please contact Paul Newman, the PSC’s Chief Information Officer, at (608) 267-5112 or via e-mail at paul.newman@wisconisn.gov.</t>
    </r>
  </si>
  <si>
    <t>Questions regarding the completion of this application can be directed to either of the following:</t>
  </si>
  <si>
    <r>
      <t xml:space="preserve">Kathy Butzlaff at (608) 267-9817 or by E-mail at </t>
    </r>
    <r>
      <rPr>
        <u/>
        <sz val="10"/>
        <rFont val="Arial"/>
        <family val="2"/>
      </rPr>
      <t>kathleen.butzlaff@wisconsin.gov.</t>
    </r>
  </si>
  <si>
    <r>
      <t xml:space="preserve">Bridgot Gysbers at (608) 267-0637 or by E-mail at </t>
    </r>
    <r>
      <rPr>
        <u/>
        <sz val="10"/>
        <rFont val="Arial"/>
        <family val="2"/>
      </rPr>
      <t>bridgot.gysbers@wisconsin.gov.</t>
    </r>
  </si>
  <si>
    <r>
      <t>Application to Increase Rates</t>
    </r>
    <r>
      <rPr>
        <sz val="10"/>
        <rFont val="Arial"/>
        <family val="2"/>
      </rPr>
      <t xml:space="preserve">
</t>
    </r>
    <r>
      <rPr>
        <b/>
        <sz val="10"/>
        <rFont val="Arial"/>
        <family val="2"/>
      </rPr>
      <t>Public Service Commission of Wisconsin</t>
    </r>
    <r>
      <rPr>
        <sz val="10"/>
        <rFont val="Arial"/>
        <family val="2"/>
      </rPr>
      <t xml:space="preserve">
P.O. Box 7854
Madison, WI 53707-7854</t>
    </r>
  </si>
  <si>
    <t>(Filling this form out is in accordance with Wis. Stat. § 196.25)</t>
  </si>
  <si>
    <t>The Public Service Commission of Wisconsin does not discriminate on the basis of disability in the provision of programs, services, or employment.  If you are speech, hearing, or visually impaired and need assistance, call (608) 266-5481 or TTY (608)267-1479.  We will try to find another way to get the information to you in a usable form.</t>
  </si>
  <si>
    <t>Name of Utility:</t>
  </si>
  <si>
    <t>Type of rate increase requested:</t>
  </si>
  <si>
    <t>Reason for rate increase request:</t>
  </si>
  <si>
    <t>Contact Personnel Information</t>
  </si>
  <si>
    <t>Utility</t>
  </si>
  <si>
    <t>Consultant</t>
  </si>
  <si>
    <t>Name</t>
  </si>
  <si>
    <t>Contact Person (1)</t>
  </si>
  <si>
    <t>Contact Person (2)</t>
  </si>
  <si>
    <t>Street or P.O. Box</t>
  </si>
  <si>
    <t>City and Zip Code</t>
  </si>
  <si>
    <t>County or Counties</t>
  </si>
  <si>
    <t>Telephone Number (1)</t>
  </si>
  <si>
    <t>Telephone Number (2)</t>
  </si>
  <si>
    <t>E-Mail Address</t>
  </si>
  <si>
    <t>Fax Number</t>
  </si>
  <si>
    <t>Best Hours between 7:30 am &amp; 5:00 pm</t>
  </si>
  <si>
    <t>Telephonic Hearing Information</t>
  </si>
  <si>
    <t>Requests to increase rates require Commission approval.  Pursuant to state statutes, a rate increase can only be authorized after public hearing.  Municipal utilities are encouraged to hold telephonic hearings.  A telephonic hearing is much like a hearing held in Madison except that the utility, Commission staff, the utility's consultant (if applicable), and customers participate via speaker phone from their respective locations.  Telephonic hearings are advantageous for both the utility and its customers.  Customers have an opportunity to participate with greater ease than afforded by a hearing held at the Commission's offices in Madison.  Additionally, the time utility personnel are away from the office is significantly reduced.</t>
  </si>
  <si>
    <t>In order to participate in a telephonic hearing, the utility must have a location which is handicapped accessible with a capacity of at least 10-15 persons.  The utility also needs a speaker phone workable in the room in which the hearing is to be held.  FAX and copy machines are also required.  The FAX and copiers do not need to be located in the hearing room or even the building in which the hearing is to be held;  however, the utility must have ready access.  More details will be provided concerning scheduling and administering the telephonic hearing when Commission staff has completed processing your application to increase rates.</t>
  </si>
  <si>
    <t>Please check one of the following:</t>
  </si>
  <si>
    <r>
      <t>Yes</t>
    </r>
    <r>
      <rPr>
        <sz val="12"/>
        <rFont val="Arial"/>
        <family val="2"/>
      </rPr>
      <t xml:space="preserve">, the utility can arrange a site for a telephonic hearing, either at the utility or at an alternate site.  </t>
    </r>
    <r>
      <rPr>
        <i/>
        <sz val="12"/>
        <rFont val="Arial"/>
        <family val="2"/>
      </rPr>
      <t>(Please specify the site including building name, address, room number, and telephone number for the room in the space below.)</t>
    </r>
  </si>
  <si>
    <t>Building Name</t>
  </si>
  <si>
    <t>Room Number or Name</t>
  </si>
  <si>
    <t>Address</t>
  </si>
  <si>
    <t>Phone Number</t>
  </si>
  <si>
    <r>
      <t>No</t>
    </r>
    <r>
      <rPr>
        <sz val="12"/>
        <rFont val="Arial"/>
        <family val="2"/>
      </rPr>
      <t xml:space="preserve">, it is not feasible for our utility to host a telephonic hearing.  We request that the hearing be scheduled in Madison. </t>
    </r>
    <r>
      <rPr>
        <i/>
        <sz val="12"/>
        <rFont val="Arial"/>
        <family val="2"/>
      </rPr>
      <t xml:space="preserve"> (Please provide your specific reasons in the space</t>
    </r>
    <r>
      <rPr>
        <sz val="12"/>
        <rFont val="Arial"/>
        <family val="2"/>
      </rPr>
      <t xml:space="preserve"> </t>
    </r>
    <r>
      <rPr>
        <i/>
        <sz val="12"/>
        <rFont val="Arial"/>
        <family val="2"/>
      </rPr>
      <t>below.)</t>
    </r>
  </si>
  <si>
    <t>ATTACHMENT 1</t>
  </si>
  <si>
    <t>PART 1:</t>
  </si>
  <si>
    <t xml:space="preserve">Provide consumption data for the four largest customers in each customer class. 
</t>
  </si>
  <si>
    <t>1. List the billing units consistent with Schedule Mg-1 in your tariff sheets.</t>
  </si>
  <si>
    <t>3. List the billing period date that the consumption was billed.</t>
  </si>
  <si>
    <t xml:space="preserve">LISTING OF LARGEST CUSTOMERS BILLED </t>
  </si>
  <si>
    <t>Customer Name</t>
  </si>
  <si>
    <t>Meter Size</t>
  </si>
  <si>
    <t>Billing Date</t>
  </si>
  <si>
    <t>Billed Consumption</t>
  </si>
  <si>
    <t>Res.</t>
  </si>
  <si>
    <t>Com.</t>
  </si>
  <si>
    <t>Ind.</t>
  </si>
  <si>
    <t>P.A.</t>
  </si>
  <si>
    <t>PART 2:</t>
  </si>
  <si>
    <t>Provide information about your billing procedures.</t>
  </si>
  <si>
    <t>1. How do you send your water bills?</t>
  </si>
  <si>
    <t>2. What is your billing frequency for residential customers?</t>
  </si>
  <si>
    <t>3.  How frequently do you read residential customer meters?</t>
  </si>
  <si>
    <t>4. Which of the following best describes the manner in which you read meters each billing period?</t>
  </si>
  <si>
    <t>5.  What is the estimated start date for reading meters for your next billing period?</t>
  </si>
  <si>
    <t>WATER UTILITY CONSUMER ANALYSIS</t>
  </si>
  <si>
    <t xml:space="preserve">                      Actual Latest 12 Months Ending:</t>
  </si>
  <si>
    <t>Commercial</t>
  </si>
  <si>
    <t>Total</t>
  </si>
  <si>
    <t>Units</t>
  </si>
  <si>
    <t>Amount</t>
  </si>
  <si>
    <t>Average</t>
  </si>
  <si>
    <t>Meter</t>
  </si>
  <si>
    <t>5/8"</t>
  </si>
  <si>
    <t>3/4"</t>
  </si>
  <si>
    <t xml:space="preserve"> 1"</t>
  </si>
  <si>
    <t>1 1/4"</t>
  </si>
  <si>
    <t>1 1/2"</t>
  </si>
  <si>
    <t xml:space="preserve"> 2"</t>
  </si>
  <si>
    <t xml:space="preserve"> 2 1/2"</t>
  </si>
  <si>
    <t xml:space="preserve"> 3"</t>
  </si>
  <si>
    <t xml:space="preserve"> 4"</t>
  </si>
  <si>
    <t xml:space="preserve"> 6"</t>
  </si>
  <si>
    <t xml:space="preserve"> 8"</t>
  </si>
  <si>
    <t>10"</t>
  </si>
  <si>
    <t>12"</t>
  </si>
  <si>
    <t>Surcharges, etc.</t>
  </si>
  <si>
    <t>Total Revenues Per Analysis</t>
  </si>
  <si>
    <t>Total Actual Billed Revenues</t>
  </si>
  <si>
    <t>Dollar Variance</t>
  </si>
  <si>
    <t xml:space="preserve">(A)  </t>
  </si>
  <si>
    <t>The annual revenues from meter charges are based upon the number of bills issued annually.</t>
  </si>
  <si>
    <t xml:space="preserve">(B)  </t>
  </si>
  <si>
    <t>If the percent variance is greater than 3%, the variance must be explained in detail in the Notes, Attachment 19.</t>
  </si>
  <si>
    <t>Sales Forecast Historical</t>
  </si>
  <si>
    <t>Avg. #</t>
  </si>
  <si>
    <t xml:space="preserve">      Usage</t>
  </si>
  <si>
    <t xml:space="preserve">  Avg/Cust/Qtr</t>
  </si>
  <si>
    <t xml:space="preserve">Change in </t>
  </si>
  <si>
    <t xml:space="preserve">  Year</t>
  </si>
  <si>
    <t>Customers</t>
  </si>
  <si>
    <t>Customer Ct</t>
  </si>
  <si>
    <t xml:space="preserve">     Averages:</t>
  </si>
  <si>
    <t>5-year avg</t>
  </si>
  <si>
    <t>4-year avg</t>
  </si>
  <si>
    <t>3-year avg</t>
  </si>
  <si>
    <t>2-year avg</t>
  </si>
  <si>
    <t>Estimated Customer Growth for the Test Year:</t>
  </si>
  <si>
    <t>Number of</t>
  </si>
  <si>
    <t>Customer Class</t>
  </si>
  <si>
    <t>Sizes</t>
  </si>
  <si>
    <t>Public Auth.</t>
  </si>
  <si>
    <t>Wholesale Revenues</t>
  </si>
  <si>
    <t>NOTE: Only applies to utilities selling water at wholesale to another utilty.</t>
  </si>
  <si>
    <t>Wholesale Community --&gt;</t>
  </si>
  <si>
    <t>5-Year Average</t>
  </si>
  <si>
    <t>4-Year Average</t>
  </si>
  <si>
    <t>3-Year Average</t>
  </si>
  <si>
    <t>2-Year Average</t>
  </si>
  <si>
    <t>Public Fire Protection Service</t>
  </si>
  <si>
    <t>Service Charge</t>
  </si>
  <si>
    <t>Semiannual/qtrly/monthly --&gt;</t>
  </si>
  <si>
    <t>Rate</t>
  </si>
  <si>
    <t>General Service</t>
  </si>
  <si>
    <t>Volume Charge</t>
  </si>
  <si>
    <t>ATTACHMENT 4</t>
  </si>
  <si>
    <t>PUBLIC FIRE PROTECTION REVENUE (SUMMARY)</t>
  </si>
  <si>
    <t>MUNICIPAL CHARGE</t>
  </si>
  <si>
    <t>Based upon Mains and Hydrants:</t>
  </si>
  <si>
    <t xml:space="preserve">Estimated Test Year Revenue </t>
  </si>
  <si>
    <t>(Per Attachment 5)</t>
  </si>
  <si>
    <t>Based upon a Flat Charge to Municipality:</t>
  </si>
  <si>
    <t>Estimated Test Year Revenue</t>
  </si>
  <si>
    <t>DIRECT CHARGE TO CUSTOMERS</t>
  </si>
  <si>
    <t>Based upon Equivalent Meters or Equivalent Services:</t>
  </si>
  <si>
    <t>Based upon a Direct Charge Method other than in number 3 above:</t>
  </si>
  <si>
    <t>Note:  Detail Must be Submitted to PSC Supporting this Method.</t>
  </si>
  <si>
    <t>CHARGES TO WHOLESALE CUSTOMERS</t>
  </si>
  <si>
    <t>OTHER PUBLIC FIRE PROTECTION CHARGES TO CUSTOMERS FOR FIRE PROTECTION</t>
  </si>
  <si>
    <t>Based upon Charges for Water Used for Fire Protection (i.e., using Tariff Schedules F-2 or BW-1)</t>
  </si>
  <si>
    <t>TOTAL ESTIMATED TEST YEAR PUBLIC FIRE PROTECTION REVENUE</t>
  </si>
  <si>
    <t>PUBLIC FIRE PROTECTION REVENUE (SUPPORTING DETAIL)</t>
  </si>
  <si>
    <t>If Public Fire Protection Revenue is a Municipal Charge based upon mains and/or hydrants, complete the following.</t>
  </si>
  <si>
    <t>Base charges and units are obtained from the current green tariff sheet, typically Schedule F-1.</t>
  </si>
  <si>
    <t>Base annual charge (dollars)</t>
  </si>
  <si>
    <t>Base estimated transmission and distribution main (number of feet)</t>
  </si>
  <si>
    <t>Main size larger than (typically 4 or 6 inches)</t>
  </si>
  <si>
    <t>Base number of hydrants</t>
  </si>
  <si>
    <t>ATTACHMENT 5</t>
  </si>
  <si>
    <t>Part One:</t>
  </si>
  <si>
    <t>Based upon Mains and/or Hydrants:</t>
  </si>
  <si>
    <t>Dollar</t>
  </si>
  <si>
    <t>&amp; Larger</t>
  </si>
  <si>
    <t>Hydrants</t>
  </si>
  <si>
    <t>Base Units and Charge (Per tariff schedule)</t>
  </si>
  <si>
    <t>feet</t>
  </si>
  <si>
    <t>hyd</t>
  </si>
  <si>
    <t/>
  </si>
  <si>
    <t>Test Year Average Units</t>
  </si>
  <si>
    <t>Part Two:</t>
  </si>
  <si>
    <t>Based upon Equivalent Meters or  Equivalent Services:</t>
  </si>
  <si>
    <t xml:space="preserve">Insert Billings per Year if Different  </t>
  </si>
  <si>
    <t>Authorized</t>
  </si>
  <si>
    <t>Annual</t>
  </si>
  <si>
    <t>Size</t>
  </si>
  <si>
    <t>(per Attachment 3)</t>
  </si>
  <si>
    <t>Revenue</t>
  </si>
  <si>
    <t>SUBTOTALS</t>
  </si>
  <si>
    <t>Surcharges or Rounding</t>
  </si>
  <si>
    <t>CALCULATED ANNUAL REVENUE</t>
  </si>
  <si>
    <t>ATTACHMENT 6</t>
  </si>
  <si>
    <t>PRIVATE FIRE PROTECTION REVENUE</t>
  </si>
  <si>
    <t xml:space="preserve">Average Number </t>
  </si>
  <si>
    <t>Fire Connections:</t>
  </si>
  <si>
    <t>Connection</t>
  </si>
  <si>
    <t>of Connections</t>
  </si>
  <si>
    <t>Each Billing</t>
  </si>
  <si>
    <t>Annually</t>
  </si>
  <si>
    <t>Rates</t>
  </si>
  <si>
    <t>2" or smaller</t>
  </si>
  <si>
    <t>3"</t>
  </si>
  <si>
    <t>4"</t>
  </si>
  <si>
    <t>6"</t>
  </si>
  <si>
    <t>8"</t>
  </si>
  <si>
    <t>14"</t>
  </si>
  <si>
    <t>16"</t>
  </si>
  <si>
    <t>Total Connection Revenue</t>
  </si>
  <si>
    <t>General Service Branches Off</t>
  </si>
  <si>
    <t xml:space="preserve"> Meter</t>
  </si>
  <si>
    <t>of Meters</t>
  </si>
  <si>
    <t xml:space="preserve">  Annual</t>
  </si>
  <si>
    <t xml:space="preserve"> Sizes</t>
  </si>
  <si>
    <t xml:space="preserve">    5/8"</t>
  </si>
  <si>
    <t xml:space="preserve">    3/4"</t>
  </si>
  <si>
    <t xml:space="preserve">    1"</t>
  </si>
  <si>
    <t xml:space="preserve">  1 1/4"</t>
  </si>
  <si>
    <t xml:space="preserve">  1 1/2"</t>
  </si>
  <si>
    <t xml:space="preserve">    2"</t>
  </si>
  <si>
    <t xml:space="preserve">  2 1/2"</t>
  </si>
  <si>
    <t xml:space="preserve">    3"</t>
  </si>
  <si>
    <t xml:space="preserve">    4"</t>
  </si>
  <si>
    <t xml:space="preserve">    6"</t>
  </si>
  <si>
    <t xml:space="preserve">    8"</t>
  </si>
  <si>
    <t>Total General Branch Connection Revenues</t>
  </si>
  <si>
    <t>If Applicable, the Authorized Credit is Usually 30% of Total General Branch Revenues.</t>
  </si>
  <si>
    <t>(However, the credit may be at a different percentage or if N/A, enter zero)</t>
  </si>
  <si>
    <t xml:space="preserve">      Insert Authorized Credit Percentage in this box (if applicable):</t>
  </si>
  <si>
    <t>Total Estimated Test Year Revenue (Connection Revenue less Credit Amount)</t>
  </si>
  <si>
    <t>ATTACHMENT 7</t>
  </si>
  <si>
    <t>OPERATING REVENUES</t>
  </si>
  <si>
    <t>Account</t>
  </si>
  <si>
    <t>Test Year</t>
  </si>
  <si>
    <t>Number</t>
  </si>
  <si>
    <t>Description</t>
  </si>
  <si>
    <t>Unmetered Sales to General Customers</t>
  </si>
  <si>
    <t xml:space="preserve">  Residential</t>
  </si>
  <si>
    <t xml:space="preserve">  Commercial</t>
  </si>
  <si>
    <t xml:space="preserve">  Industrial</t>
  </si>
  <si>
    <t xml:space="preserve">  Public Authority</t>
  </si>
  <si>
    <t>Total unmetered sales</t>
  </si>
  <si>
    <t>Metered Sales to General Customers</t>
  </si>
  <si>
    <t xml:space="preserve"> (A)</t>
  </si>
  <si>
    <t>Total metered sales</t>
  </si>
  <si>
    <t>Private fire protection service</t>
  </si>
  <si>
    <t xml:space="preserve"> (B)</t>
  </si>
  <si>
    <t>Public fire protection service</t>
  </si>
  <si>
    <t xml:space="preserve"> (C)</t>
  </si>
  <si>
    <t>Other water sales</t>
  </si>
  <si>
    <t>Sales for resale</t>
  </si>
  <si>
    <t>Interdepartmental sales</t>
  </si>
  <si>
    <t>Total sales of water</t>
  </si>
  <si>
    <t>Other Operating Revenues:</t>
  </si>
  <si>
    <t>Forfeited discounts</t>
  </si>
  <si>
    <t>Rents from water property</t>
  </si>
  <si>
    <t>Interdepartmental rents</t>
  </si>
  <si>
    <t>Other water revenues</t>
  </si>
  <si>
    <t>Total other operating revenues</t>
  </si>
  <si>
    <t>Total Operating Revenues</t>
  </si>
  <si>
    <t>NOTE:</t>
  </si>
  <si>
    <t>ATTACHMENT 8</t>
  </si>
  <si>
    <t xml:space="preserve">Taxes (Account 408) </t>
  </si>
  <si>
    <t>Instructions for Taxes (Account 408)</t>
  </si>
  <si>
    <t>The summary should be completed as follows:</t>
  </si>
  <si>
    <t xml:space="preserve">      Property Tax Equivalent Computation on Attachment 9.</t>
  </si>
  <si>
    <t xml:space="preserve"> 3)  If the sewer department DOES NOT USE the meter reading of the water utility for determining</t>
  </si>
  <si>
    <t>Instructions</t>
  </si>
  <si>
    <t>Reference</t>
  </si>
  <si>
    <t xml:space="preserve">Property Tax Equivalent Payable for the </t>
  </si>
  <si>
    <t xml:space="preserve"> Year (from Attachment 9)</t>
  </si>
  <si>
    <t>1) &amp; 2)</t>
  </si>
  <si>
    <t xml:space="preserve">          on meters charged to sewer dept.</t>
  </si>
  <si>
    <t>1) &amp; 3)</t>
  </si>
  <si>
    <t>Net Property Tax Equivalent-Water Utility</t>
  </si>
  <si>
    <t>Social Security Taxes</t>
  </si>
  <si>
    <t>1)</t>
  </si>
  <si>
    <t>PSC Remainder Assessment Tax</t>
  </si>
  <si>
    <t>Total Taxes</t>
  </si>
  <si>
    <t>Attachment 9</t>
  </si>
  <si>
    <t xml:space="preserve">Property Tax Equivalent Computation </t>
  </si>
  <si>
    <t>Instructions (Instr.) for the Property Tax Equivalent Computation</t>
  </si>
  <si>
    <t xml:space="preserve">    a) Plant - January 1 must come from Attachment 11 (Utility/Municipal Financed Plant) and Attachment 11a (Contributed Plant).</t>
  </si>
  <si>
    <t xml:space="preserve">    b) Major Plant Additions (Both Utility Financed and Contributed) are included for the Test Year for rate case purposes.</t>
  </si>
  <si>
    <t xml:space="preserve">    c) Construction Work In Progress (CWIP) and Plant Held for Future Use - January 1; </t>
  </si>
  <si>
    <t xml:space="preserve">        excluding any amounts included as Major Plant Additions in Test Year.</t>
  </si>
  <si>
    <t xml:space="preserve">    d) Materials and Supplies - January 1 must come from Attachment 13.</t>
  </si>
  <si>
    <t xml:space="preserve">    e) Plant Outside Limits-January 1 - State the basis for any change from prior year.</t>
  </si>
  <si>
    <t xml:space="preserve">    f) The utility must state what assumptions it made with regard to projecting the tax rates and assessment ratio.</t>
  </si>
  <si>
    <t xml:space="preserve"> 3.  If the municipality has authorized an amount as allowed by Wis. Stat. § 66.0811(2) [formerly § 66.069 (1)(c)],</t>
  </si>
  <si>
    <t xml:space="preserve">      then place that amount on this line.  If no authorization, leave blank.</t>
  </si>
  <si>
    <t xml:space="preserve"> 4.  If the municipality has authorized an amount as allowed by Wis. Stat. § 66.0811(2), then that amount is the tax</t>
  </si>
  <si>
    <t xml:space="preserve">      equivalent payable for the current year.  If not, then the tax equivalent payable for the current year is the</t>
  </si>
  <si>
    <t xml:space="preserve">      larger of either the tax equivalent computed for the current year or the 1994 tax equivalent payable in 1995.</t>
  </si>
  <si>
    <t xml:space="preserve"> 5.  The property tax equivalent is not applicable to Water Sanitary Districts.</t>
  </si>
  <si>
    <t>Instr.</t>
  </si>
  <si>
    <t>Add:</t>
  </si>
  <si>
    <t xml:space="preserve">   Utility Plant - January 1</t>
  </si>
  <si>
    <t xml:space="preserve">   Utility/Municipal Financed Plant - January 1</t>
  </si>
  <si>
    <t>2a)</t>
  </si>
  <si>
    <t xml:space="preserve">   Contributed Plant - January 1</t>
  </si>
  <si>
    <t xml:space="preserve">   Major Plant Additions in Test Year</t>
  </si>
  <si>
    <t>2b)</t>
  </si>
  <si>
    <t xml:space="preserve">   CWIP &amp; Held for Future Use - January 1</t>
  </si>
  <si>
    <t>2c)</t>
  </si>
  <si>
    <t xml:space="preserve">   Materials &amp; Supplies - January 1</t>
  </si>
  <si>
    <t>1,2d)</t>
  </si>
  <si>
    <t>1,2e)</t>
  </si>
  <si>
    <t>Net Taxable Plant</t>
  </si>
  <si>
    <t>1,2f)</t>
  </si>
  <si>
    <t>Assessed Plant Value</t>
  </si>
  <si>
    <t>Current Year Net Local &amp; Schools (L&amp;S)</t>
  </si>
  <si>
    <t xml:space="preserve">    Mill Rate (Line R below)</t>
  </si>
  <si>
    <t>Tax Equivalent Computed for the Current</t>
  </si>
  <si>
    <t xml:space="preserve">     Year (Plant Value times L&amp;S Rate/1000) </t>
  </si>
  <si>
    <t>1,3</t>
  </si>
  <si>
    <t>1994 Tax Equivalent Payable in 1995</t>
  </si>
  <si>
    <t>Tax Equivalent Authorized by Municipality</t>
  </si>
  <si>
    <t>Tax Equivalent Payable for the Current Year</t>
  </si>
  <si>
    <t>1,4</t>
  </si>
  <si>
    <t>Line</t>
  </si>
  <si>
    <t>Mill Rate Detail</t>
  </si>
  <si>
    <t>Ref.</t>
  </si>
  <si>
    <t>State tax rate</t>
  </si>
  <si>
    <t>(A)</t>
  </si>
  <si>
    <t>County tax rate</t>
  </si>
  <si>
    <t>(B)</t>
  </si>
  <si>
    <t>Local tax rate</t>
  </si>
  <si>
    <t>(C)</t>
  </si>
  <si>
    <t>School tax rate</t>
  </si>
  <si>
    <t>(D)</t>
  </si>
  <si>
    <t>Voc. school tax rate</t>
  </si>
  <si>
    <t>(E)</t>
  </si>
  <si>
    <t>Other tax rates-Local</t>
  </si>
  <si>
    <t>(F1)</t>
  </si>
  <si>
    <t xml:space="preserve">Other tax rates-Non-Local </t>
  </si>
  <si>
    <t>(F2)</t>
  </si>
  <si>
    <t xml:space="preserve">    Total Tax Rate</t>
  </si>
  <si>
    <t>(G)</t>
  </si>
  <si>
    <t>(H)</t>
  </si>
  <si>
    <t xml:space="preserve">    Net Tax Rate</t>
  </si>
  <si>
    <t>(I)</t>
  </si>
  <si>
    <t>Local tax rate (Line C above)</t>
  </si>
  <si>
    <t>(J)</t>
  </si>
  <si>
    <t>School tax rate (Line D above)</t>
  </si>
  <si>
    <t>(K)</t>
  </si>
  <si>
    <t>Voc. school tax rate (Line E above)</t>
  </si>
  <si>
    <t>(L)</t>
  </si>
  <si>
    <t>Other tax rates-Local (Line F1 above)</t>
  </si>
  <si>
    <t>(M)</t>
  </si>
  <si>
    <t>Total local &amp; schools tax rates</t>
  </si>
  <si>
    <t>(N)</t>
  </si>
  <si>
    <t>Total tax rate (Line G above)</t>
  </si>
  <si>
    <t>(O)</t>
  </si>
  <si>
    <t xml:space="preserve">Ratio of local &amp; school tax rate to </t>
  </si>
  <si>
    <t xml:space="preserve">      total tax rate (Line N divided by O)</t>
  </si>
  <si>
    <t>(P)</t>
  </si>
  <si>
    <t>Net Tax Rate ( Line I above)</t>
  </si>
  <si>
    <t>(Q)</t>
  </si>
  <si>
    <t>Net local and school rate:  (Line P times Q)</t>
  </si>
  <si>
    <t>(R)</t>
  </si>
  <si>
    <t>ATTACHMENT 10</t>
  </si>
  <si>
    <t>Page 1 of 2</t>
  </si>
  <si>
    <t>OPERATING EXPENSES</t>
  </si>
  <si>
    <t xml:space="preserve">                                       </t>
  </si>
  <si>
    <t>Acct.</t>
  </si>
  <si>
    <t xml:space="preserve"> No.</t>
  </si>
  <si>
    <t xml:space="preserve">    </t>
  </si>
  <si>
    <t xml:space="preserve">           </t>
  </si>
  <si>
    <t>.</t>
  </si>
  <si>
    <t>Operation labor</t>
  </si>
  <si>
    <t>Purchased water</t>
  </si>
  <si>
    <t>Operation supplies and expenses</t>
  </si>
  <si>
    <t>Maintenance of water source plant</t>
  </si>
  <si>
    <t>Total Source of Supply Expenses</t>
  </si>
  <si>
    <t>Fuel for power production</t>
  </si>
  <si>
    <t>Fuel or power purchased for pumping</t>
  </si>
  <si>
    <t>Maintenance of pumping plant</t>
  </si>
  <si>
    <t>Total Pumping Expenses</t>
  </si>
  <si>
    <t>Chemicals</t>
  </si>
  <si>
    <t>Maintenance of water treatment plant</t>
  </si>
  <si>
    <t>Total Water Treatment Expenses</t>
  </si>
  <si>
    <t>Maintenance of distr. reservoirs</t>
  </si>
  <si>
    <t>Maintenance of mains</t>
  </si>
  <si>
    <t>Maintenance of services</t>
  </si>
  <si>
    <t>Maintenance of meters</t>
  </si>
  <si>
    <t>Maintenance of hydrants</t>
  </si>
  <si>
    <t>Maintenance of other plant</t>
  </si>
  <si>
    <t>Total Trans. &amp; Distribution Expenses</t>
  </si>
  <si>
    <t>Page 2 of 2</t>
  </si>
  <si>
    <t>Meter reading labor</t>
  </si>
  <si>
    <t>Accounting and collecting labor</t>
  </si>
  <si>
    <t>Supplies and expenses</t>
  </si>
  <si>
    <t>Uncollectible accounts</t>
  </si>
  <si>
    <t>Customer service and informational expense</t>
  </si>
  <si>
    <t>Total Customer Accounts Expenses</t>
  </si>
  <si>
    <t>Sales Expenses</t>
  </si>
  <si>
    <t>Administrative and general salaries</t>
  </si>
  <si>
    <t>Office supplies and expenses</t>
  </si>
  <si>
    <t>Administrative expenses transferred -- credit</t>
  </si>
  <si>
    <t>Outside services employed</t>
  </si>
  <si>
    <t>Property insurance</t>
  </si>
  <si>
    <t>Injuries and damages</t>
  </si>
  <si>
    <t>Employee pensions and benefits</t>
  </si>
  <si>
    <t>Regulatory commission expenses</t>
  </si>
  <si>
    <t>Miscellaneous general expenses</t>
  </si>
  <si>
    <t>Transportation expenses</t>
  </si>
  <si>
    <t>Maintenance of general plant</t>
  </si>
  <si>
    <t>Total Admin. And General Expenses</t>
  </si>
  <si>
    <t>Total Oper. And Maint. Expenses</t>
  </si>
  <si>
    <t>ATTACHMENT 11</t>
  </si>
  <si>
    <t>UTILITY PLANT IN SERVICE</t>
  </si>
  <si>
    <t>Utility or Municipal Financed Transactions Only</t>
  </si>
  <si>
    <t>Plant account</t>
  </si>
  <si>
    <t>Estimated</t>
  </si>
  <si>
    <t xml:space="preserve">                                    </t>
  </si>
  <si>
    <t xml:space="preserve">  Balance</t>
  </si>
  <si>
    <t>Major Construction</t>
  </si>
  <si>
    <t>Routine Construction</t>
  </si>
  <si>
    <t>Additions</t>
  </si>
  <si>
    <t>Retirements</t>
  </si>
  <si>
    <t>Adjustments</t>
  </si>
  <si>
    <t>Balance</t>
  </si>
  <si>
    <t>Notes (A,B)</t>
  </si>
  <si>
    <t>Note (B)</t>
  </si>
  <si>
    <t>Intangible Plant</t>
  </si>
  <si>
    <t>Organization</t>
  </si>
  <si>
    <t>Franchises and consents</t>
  </si>
  <si>
    <t>Miscellaneous intangible plant</t>
  </si>
  <si>
    <t>Total Intangible Plant</t>
  </si>
  <si>
    <t xml:space="preserve">            </t>
  </si>
  <si>
    <t>Source of Supply</t>
  </si>
  <si>
    <t>Land and land rights</t>
  </si>
  <si>
    <t>Structures and improvements</t>
  </si>
  <si>
    <t>Collecting and impounding reservoirs</t>
  </si>
  <si>
    <t>Lake, river, and other intakes</t>
  </si>
  <si>
    <t>Wells and springs</t>
  </si>
  <si>
    <t>Supply mains</t>
  </si>
  <si>
    <t>Other water source plant</t>
  </si>
  <si>
    <t>Total Source of Supply Plant</t>
  </si>
  <si>
    <t>Pumping Plant</t>
  </si>
  <si>
    <t>Other power production equipment</t>
  </si>
  <si>
    <t>Electric pumping equipment</t>
  </si>
  <si>
    <t>Diesel pumping equipment</t>
  </si>
  <si>
    <t>Other pumping equipment</t>
  </si>
  <si>
    <t>Total Pumping Plant</t>
  </si>
  <si>
    <t>Water Treatment Plant</t>
  </si>
  <si>
    <t>Sand or Other Media Filtration Equip</t>
  </si>
  <si>
    <t>Membrane Filtration Equipment</t>
  </si>
  <si>
    <t>Other Water Treatment Equipment</t>
  </si>
  <si>
    <t>Total Water Treatment Plant</t>
  </si>
  <si>
    <t>Transmission and Distribution Plant</t>
  </si>
  <si>
    <t>Distribution reservoirs and standpipes</t>
  </si>
  <si>
    <t>Transmission and distribution mains</t>
  </si>
  <si>
    <t>Services</t>
  </si>
  <si>
    <t>Meters</t>
  </si>
  <si>
    <t>Other transmission and distr. plant</t>
  </si>
  <si>
    <t>Total Transmission and Distr. Plant</t>
  </si>
  <si>
    <t>General Plant</t>
  </si>
  <si>
    <t>Office furniture and equipment</t>
  </si>
  <si>
    <t>Office furniture &amp; equip - Computers</t>
  </si>
  <si>
    <t>Transportation equipment</t>
  </si>
  <si>
    <t>Stores equipment</t>
  </si>
  <si>
    <t>Tools, shop and garage equipment</t>
  </si>
  <si>
    <t>Laboratory equipment</t>
  </si>
  <si>
    <t>Power operated equipment</t>
  </si>
  <si>
    <t>Communication equipment</t>
  </si>
  <si>
    <t>SCADA equipment</t>
  </si>
  <si>
    <t>Miscellaneous equipment</t>
  </si>
  <si>
    <t>Total General Plant</t>
  </si>
  <si>
    <t>Total Plant In Service</t>
  </si>
  <si>
    <t>Notes:</t>
  </si>
  <si>
    <t xml:space="preserve">If any Plant Additions require Construction Approval by the PSC, a request for approval must be submitted to </t>
  </si>
  <si>
    <t>Do not include Plant financed by Contributions.  Contributed Plant is shown in Attachment 11a.</t>
  </si>
  <si>
    <t>ATTACHMENT 11a</t>
  </si>
  <si>
    <t>Contributed Plant</t>
  </si>
  <si>
    <t>Contributed Plant Transactions Only</t>
  </si>
  <si>
    <t>Contributed</t>
  </si>
  <si>
    <t xml:space="preserve"> Estimated</t>
  </si>
  <si>
    <t>Plant</t>
  </si>
  <si>
    <t>Note (A)</t>
  </si>
  <si>
    <t>Sand and other media filtration Equip</t>
  </si>
  <si>
    <t xml:space="preserve">Total </t>
  </si>
  <si>
    <t>Note:</t>
  </si>
  <si>
    <t xml:space="preserve">     in order for this rate increase application to be processed.</t>
  </si>
  <si>
    <t>ATTACHMENT 12</t>
  </si>
  <si>
    <t>DEPRECIATION ACCRUAL AND EXPENSE</t>
  </si>
  <si>
    <t xml:space="preserve">A. </t>
  </si>
  <si>
    <t xml:space="preserve">B. </t>
  </si>
  <si>
    <t>(per Attach. 11)</t>
  </si>
  <si>
    <t>(per Attachment 11)</t>
  </si>
  <si>
    <t>Depr.</t>
  </si>
  <si>
    <t>Avg. Depreciable</t>
  </si>
  <si>
    <t>Depreciation</t>
  </si>
  <si>
    <t xml:space="preserve"> Average Depreciable Balance</t>
  </si>
  <si>
    <t>Depreciation Accrual</t>
  </si>
  <si>
    <t>Accrual</t>
  </si>
  <si>
    <t>Major</t>
  </si>
  <si>
    <t>Routine</t>
  </si>
  <si>
    <t>301-303</t>
  </si>
  <si>
    <t>N/A</t>
  </si>
  <si>
    <t>Estimated Depreciation Accrual</t>
  </si>
  <si>
    <t>Meter depr. allocated to sewer (deduction)</t>
  </si>
  <si>
    <t>% &lt;=Change if different</t>
  </si>
  <si>
    <t>%  &lt;=Change if different allocation to sewer</t>
  </si>
  <si>
    <t>Adjustments &amp; Depreciation charged clearing accounts, etc: add (deduct):</t>
  </si>
  <si>
    <t xml:space="preserve">  (Specify)</t>
  </si>
  <si>
    <t>Estimated Depreciation Expense</t>
  </si>
  <si>
    <t>Test Year Depreciation Expense (To Attachment 14)==&gt;</t>
  </si>
  <si>
    <t>ATTACHMENT 13</t>
  </si>
  <si>
    <t>Accumulated Depreciation (Account 111.1)</t>
  </si>
  <si>
    <t>Major Projects</t>
  </si>
  <si>
    <t>Average Balance</t>
  </si>
  <si>
    <t xml:space="preserve">   Add:</t>
  </si>
  <si>
    <t>Annual Accrual</t>
  </si>
  <si>
    <t>(per Attachment 12)</t>
  </si>
  <si>
    <t>Salvage</t>
  </si>
  <si>
    <t xml:space="preserve">  Less:</t>
  </si>
  <si>
    <t>Cost of Removal</t>
  </si>
  <si>
    <t xml:space="preserve">         increase (decrease)</t>
  </si>
  <si>
    <t>(Estimated)</t>
  </si>
  <si>
    <t>Test Year Average Balance</t>
  </si>
  <si>
    <t>Materials and Supplies Inventory</t>
  </si>
  <si>
    <t xml:space="preserve">Account Balances:    </t>
  </si>
  <si>
    <t>(Actual)</t>
  </si>
  <si>
    <t>Regulatory Liability and Other Adjustments</t>
  </si>
  <si>
    <t>Regulatory Liab</t>
  </si>
  <si>
    <t>Account Balances:</t>
  </si>
  <si>
    <t>(Acct 253)</t>
  </si>
  <si>
    <t>Other</t>
  </si>
  <si>
    <t>Note:  (A)</t>
  </si>
  <si>
    <t>For rate case purposes, major construction additions are factored into the calculated accrual as if in service the entire year.</t>
  </si>
  <si>
    <t xml:space="preserve">           (B)</t>
  </si>
  <si>
    <t>If test year retirements are being retired as a result of major construction project, indicate that portion in the major projects column.</t>
  </si>
  <si>
    <t xml:space="preserve">           (C)</t>
  </si>
  <si>
    <t>Explain adjustments on Attachment 19.</t>
  </si>
  <si>
    <t xml:space="preserve">           (D)</t>
  </si>
  <si>
    <t xml:space="preserve">If there is a variance to the prior year balance of more or less than 15%, please state the basis used for developing the M &amp; S </t>
  </si>
  <si>
    <t xml:space="preserve">           (E)</t>
  </si>
  <si>
    <t>Explain Other on Atttachment 19.</t>
  </si>
  <si>
    <t>ATTACHMENT 14</t>
  </si>
  <si>
    <t>(per Attachment 7)</t>
  </si>
  <si>
    <t>Total Operation and Maintenance Expenses</t>
  </si>
  <si>
    <t>(per Attachment 10)</t>
  </si>
  <si>
    <t>Depreciation Expense</t>
  </si>
  <si>
    <t>Taxes</t>
  </si>
  <si>
    <t>(per Attachment 8)</t>
  </si>
  <si>
    <t>Total Operating Expenses</t>
  </si>
  <si>
    <t xml:space="preserve">         </t>
  </si>
  <si>
    <t>Utility Plant In Service--Financed by Utility or Municipality:</t>
  </si>
  <si>
    <t xml:space="preserve">  (per Attachment 11)</t>
  </si>
  <si>
    <t>Materials and Supplies:</t>
  </si>
  <si>
    <t xml:space="preserve">  (per Attachment 13)</t>
  </si>
  <si>
    <t>Less:  Accumulated Depreciation:</t>
  </si>
  <si>
    <t>Regulatory Liability and Other:</t>
  </si>
  <si>
    <t>Average Net Investment Rate Base (NIRB)</t>
  </si>
  <si>
    <t>Part Three:</t>
  </si>
  <si>
    <t>Average Net Investment Rate Base</t>
  </si>
  <si>
    <t>(per Part Two above)</t>
  </si>
  <si>
    <t>(Enter requested rate in this box.)</t>
  </si>
  <si>
    <t>Return on Average Net Investment Rate Base (NIRB)</t>
  </si>
  <si>
    <t>(per Part One above)</t>
  </si>
  <si>
    <t>Operating Allowance</t>
  </si>
  <si>
    <t>Enter the larger of either:</t>
  </si>
  <si>
    <t>Less: Estimated Net Operating Income (Loss)</t>
  </si>
  <si>
    <t xml:space="preserve">Overall Percentage Increase in </t>
  </si>
  <si>
    <t>ATTACHMENT 15</t>
  </si>
  <si>
    <t>FINANCING AND DEBT SUMMARY</t>
  </si>
  <si>
    <t>FINANCING OF PLANT ADDITIONS (Including Contributed Plant)</t>
  </si>
  <si>
    <t>Contributed Plant by Developers</t>
  </si>
  <si>
    <t>Contributed Plant by Customers</t>
  </si>
  <si>
    <t>Special Assessments--Collections and Tax Roll</t>
  </si>
  <si>
    <t>Grants for Plant Additions</t>
  </si>
  <si>
    <t>Plant Paid for by Municipality</t>
  </si>
  <si>
    <t>Plant Paid for by TIF District</t>
  </si>
  <si>
    <t>Proceeds from Debt Issued during Year</t>
  </si>
  <si>
    <t xml:space="preserve">Special Construction Funds </t>
  </si>
  <si>
    <t>Available Cash or Invested Funds</t>
  </si>
  <si>
    <t>Utility Earnings</t>
  </si>
  <si>
    <t>Other:  (Specify)</t>
  </si>
  <si>
    <t>DEBT SUMMARY (See Instruction # 15)</t>
  </si>
  <si>
    <t xml:space="preserve">ii.  A summary in total is acceptable if the utility has debt information available by issue and can scan and/or insert the information </t>
  </si>
  <si>
    <t xml:space="preserve">     to this attachment.  An attachment to this email is also acceptable.</t>
  </si>
  <si>
    <t>iii. All debt issues for all utility departments and non-utility sewer departments reported in the PSC annual report must be included</t>
  </si>
  <si>
    <t xml:space="preserve">     unless a separate balance sheet and income statement are provided.</t>
  </si>
  <si>
    <t>Outstanding</t>
  </si>
  <si>
    <t>Interest</t>
  </si>
  <si>
    <t>Principal</t>
  </si>
  <si>
    <t>End of Year</t>
  </si>
  <si>
    <t>Totals</t>
  </si>
  <si>
    <t>Note (1):</t>
  </si>
  <si>
    <t xml:space="preserve">Include as Interest Expense amounts which will be reported in Account 427, Interest on Long Term Debt; </t>
  </si>
  <si>
    <t>in Account 430, Interest on Debt to Municipality; and Account 431, Other Interest Charges.</t>
  </si>
  <si>
    <t>IMPACT FEES</t>
  </si>
  <si>
    <t>Is the utility currently collecting impact fees?</t>
  </si>
  <si>
    <t>If yes, answer the following:</t>
  </si>
  <si>
    <t>Describe the facilities to be constructed using the impact fees.</t>
  </si>
  <si>
    <t>2)</t>
  </si>
  <si>
    <t>Provide the year the impact fees were adopted.</t>
  </si>
  <si>
    <t>3)</t>
  </si>
  <si>
    <t>Provide the year at which the assessment of impact fees will end.</t>
  </si>
  <si>
    <t>Provide the year the facilities were or will be constructed.</t>
  </si>
  <si>
    <t>If more space is needed please include an explanation in the footnotes on Attachment 19.</t>
  </si>
  <si>
    <t>ATTACHMENT 16</t>
  </si>
  <si>
    <t>1.</t>
  </si>
  <si>
    <t>2.</t>
  </si>
  <si>
    <t>3.</t>
  </si>
  <si>
    <t>4.</t>
  </si>
  <si>
    <t>ATTACHMENT 17</t>
  </si>
  <si>
    <t>MISCELLANEOUS</t>
  </si>
  <si>
    <t>Attachment 11</t>
  </si>
  <si>
    <t>Attachment 11a</t>
  </si>
  <si>
    <t>Net</t>
  </si>
  <si>
    <t>Added</t>
  </si>
  <si>
    <t>Retired</t>
  </si>
  <si>
    <t>(a)</t>
  </si>
  <si>
    <t>(b)</t>
  </si>
  <si>
    <t>Feet of Main</t>
  </si>
  <si>
    <t>Feet of Main-Routine</t>
  </si>
  <si>
    <t>Feet of Main-Major Projects</t>
  </si>
  <si>
    <t>Hydrants-Routine</t>
  </si>
  <si>
    <t>Hydrants-Major Projects</t>
  </si>
  <si>
    <t>Does the utility wish to revise Schedule Cz-1, the charge for installing a water service?</t>
  </si>
  <si>
    <t xml:space="preserve">NOTE: </t>
  </si>
  <si>
    <t>Utilities proposing a modified rate structure should submit detailed customer billing information</t>
  </si>
  <si>
    <t>for the most recent 12 months. For each billing period, include an analysis by customer</t>
  </si>
  <si>
    <t>class of the number of customer bills ending in each 1,000 gallon  or 100 cubic foot increment,</t>
  </si>
  <si>
    <t xml:space="preserve">the total number of bills in the billing period, and the total volume of sales in the billing period. </t>
  </si>
  <si>
    <t xml:space="preserve">For residential customers, it is suggested that the increments be in 1,000's of gallons, up to </t>
  </si>
  <si>
    <t>25,000 gallons per month (75,000 gallons per quarter), and then by 5,000 gallon increments.</t>
  </si>
  <si>
    <t>ATTACHMENT 18a</t>
  </si>
  <si>
    <t>WATER CONSERVATION SPENDING</t>
  </si>
  <si>
    <t>Deferred Expense Schedule:</t>
  </si>
  <si>
    <t xml:space="preserve">Beginning </t>
  </si>
  <si>
    <t>Account 186</t>
  </si>
  <si>
    <t>Account 253</t>
  </si>
  <si>
    <t>Program Year Ending</t>
  </si>
  <si>
    <t>Expenditures</t>
  </si>
  <si>
    <t>Collections</t>
  </si>
  <si>
    <t>Expenses</t>
  </si>
  <si>
    <t>(c)</t>
  </si>
  <si>
    <t>(d)</t>
  </si>
  <si>
    <t>(e)</t>
  </si>
  <si>
    <t xml:space="preserve">December 31, </t>
  </si>
  <si>
    <t>Net Balance of Acct. 186 (debit) and Acct. 253 (credit) Last Actual Year</t>
  </si>
  <si>
    <t>Amortization Expense (Net Balance Divided by 3)</t>
  </si>
  <si>
    <t>Estimated Future Annual Expenditures</t>
  </si>
  <si>
    <t>Total Expenses (To be Recorded in Account 906)</t>
  </si>
  <si>
    <t>Additional Comments:</t>
  </si>
  <si>
    <t>ATTACHMENT 19</t>
  </si>
  <si>
    <t>NOTES</t>
  </si>
  <si>
    <t>ATTACHMENT 20</t>
  </si>
  <si>
    <t>STEP II MAJOR PLANT DETAIL</t>
  </si>
  <si>
    <t>NOTE:  Only applies to utilities requesting a two step rate case</t>
  </si>
  <si>
    <r>
      <t xml:space="preserve">USE ONLY FOR "MAJOR" PLANT NOT COMPLETED </t>
    </r>
    <r>
      <rPr>
        <b/>
        <u/>
        <sz val="10"/>
        <rFont val="Arial"/>
        <family val="2"/>
      </rPr>
      <t>NOR</t>
    </r>
    <r>
      <rPr>
        <b/>
        <sz val="10"/>
        <rFont val="Arial"/>
        <family val="2"/>
      </rPr>
      <t xml:space="preserve"> PLACED IN SERVICE BY THE END OF THE TEST YEAR</t>
    </r>
  </si>
  <si>
    <t xml:space="preserve">Summary of Plant Additions (Retirements) in Step II </t>
  </si>
  <si>
    <t xml:space="preserve">Addition </t>
  </si>
  <si>
    <t>(Retirement)</t>
  </si>
  <si>
    <t>Expense</t>
  </si>
  <si>
    <t xml:space="preserve">Total Financed by Utility or Municipality  </t>
  </si>
  <si>
    <t>Depreciation Total</t>
  </si>
  <si>
    <t>Contributed Plant:</t>
  </si>
  <si>
    <t xml:space="preserve">Total Contributed Plant  </t>
  </si>
  <si>
    <t>Calculated Tax Equivalent--Step II</t>
  </si>
  <si>
    <t>Calculated Tax Equivalent – Step I (per Attachment 9)</t>
  </si>
  <si>
    <t>Tax Equivalent Computed (Combined Total Step I and II)</t>
  </si>
  <si>
    <t>1994 Tax Equivalent Payable in 1995 (per Attachment 9)</t>
  </si>
  <si>
    <t>Step I and Step II Combined:</t>
  </si>
  <si>
    <t>Tax Equivalent Payable for the Test Year  (See Attachment 9, Instruction 4 for criteria)</t>
  </si>
  <si>
    <t>Less:  Meter Allocation to Sewer (Attachment 8)</t>
  </si>
  <si>
    <t>Step I and Step II Combined Net Property Tax Equivalent-Water Utility</t>
  </si>
  <si>
    <t>Units Added</t>
  </si>
  <si>
    <t xml:space="preserve">If mains or hydrant plant accounts have Step II transactions above, specify the net units added for each. </t>
  </si>
  <si>
    <t>ATTACHMENT 21</t>
  </si>
  <si>
    <t>STEP II SUMMARY</t>
  </si>
  <si>
    <t>Step I Total</t>
  </si>
  <si>
    <t xml:space="preserve">Per </t>
  </si>
  <si>
    <t>Step II</t>
  </si>
  <si>
    <t>Combined</t>
  </si>
  <si>
    <t>Attachment 14</t>
  </si>
  <si>
    <t>Additional</t>
  </si>
  <si>
    <t>Plant In Service--Financed by Utility or Municipality</t>
  </si>
  <si>
    <t>Materials and Supplies</t>
  </si>
  <si>
    <t>Less:  Accumulated Depreciation</t>
  </si>
  <si>
    <t>Less: Regulatory Liability and Other</t>
  </si>
  <si>
    <t>Net Investment Rate Base (NIRB)</t>
  </si>
  <si>
    <t>Less: Estimated Net Operating Income (Loss)--Combined Step I and II</t>
  </si>
  <si>
    <t>ATTACHMENT 22</t>
  </si>
  <si>
    <t>STEP II</t>
  </si>
  <si>
    <t xml:space="preserve">Step II Major Project(s) Authorization Docket Number(s)==&gt; </t>
  </si>
  <si>
    <t>Briefly Describe the Major Project(s) Below:</t>
  </si>
  <si>
    <t>Other assumptions relating to Step II Major Project(s) -- Describe below:</t>
  </si>
  <si>
    <t>ATTACHMENT 23</t>
  </si>
  <si>
    <t>Filing the Application to Increase Water Rates on the Electronic Regulatory Filing System (ERF)</t>
  </si>
  <si>
    <t xml:space="preserve">Before sending the rate application to the PSC: </t>
  </si>
  <si>
    <t>Ensure that the Edit Checks have been run from the Main Menu.</t>
  </si>
  <si>
    <t>Based on the Edit Checks listed, correct or adjust as required to address the item.</t>
  </si>
  <si>
    <t>Rerun the Edit Checks to ensure that only general Edit Checks remain in the list.</t>
  </si>
  <si>
    <t>5.</t>
  </si>
  <si>
    <t>No changes should be made to this application (the Excel file) after submitting to the PSC.  Printed copies or electronic copies regarding this rate application should be printed or electronically produced only from this file or from an exact copy.  (After the PSC has accepted this file and uploaded it to the Commission's Electronic Regulatory Filing system, copies may be reproduced from the ERF system also.)</t>
  </si>
  <si>
    <t>All new formal rate case applications and subsequent filings must be filed with the PSC in electronically on the PSC’s Electronic Regulatory Filing system at http://psc.wi.gov/apps35/erf_public/Default.aspx.</t>
  </si>
  <si>
    <t>Detailed instructions and guidelines can be found on the PSC's Electronic Regulatory Filing system web site at: http://psc.wi.gov/apps35/ERF_public/info/Document.aspx.</t>
  </si>
  <si>
    <r>
      <t>General Information</t>
    </r>
    <r>
      <rPr>
        <sz val="12"/>
        <rFont val="Arial"/>
        <family val="2"/>
      </rPr>
      <t>:</t>
    </r>
  </si>
  <si>
    <r>
      <t>Individual accounts</t>
    </r>
    <r>
      <rPr>
        <sz val="12"/>
        <rFont val="Arial"/>
        <family val="2"/>
      </rPr>
      <t xml:space="preserve"> can be created by clicking on the "Setup Individual Account" hyperlink from the ERF Login Page.  Corporate accounts can only be created by the PSC's Record Management Unit (RMU).  Entities must complete a Corporate Electronic Filing Account Request in order to establish an account. </t>
    </r>
  </si>
  <si>
    <r>
      <t>Corporate accounts</t>
    </r>
    <r>
      <rPr>
        <sz val="12"/>
        <rFont val="Arial"/>
        <family val="2"/>
      </rPr>
      <t xml:space="preserve"> have been developed to allow an organization (e.g., utility, law firm, accounting firm, intervener, etc.) to identify users who are authorized to file on their behalf.   This is an optional service offered to corporate entities to allow them greater security in identifying authorized filers, but such entities are not required to use corporate accounts if individual accounts are satisfactory to them.</t>
    </r>
  </si>
  <si>
    <t>6.</t>
  </si>
  <si>
    <t>Use http://psc.wi.gov/apps35/erf_public/Default.aspx to submit filings to the PSC.</t>
  </si>
  <si>
    <t>7.</t>
  </si>
  <si>
    <t>Once the docket is submitted it will be marked as pending which means that the document has been received by the PSC, but it has not been processed.  Staff of RMU will review the documents and approve or reject them.  When the filings are processed the submitter will be notified via email.  The email will include the document name, type, description, received date and file status.  If the filing was rejected, the reason for rejection will be included in the email.</t>
  </si>
  <si>
    <t>8.</t>
  </si>
  <si>
    <t>For general questions about the process of electronic filing or instructions on formatting, etc., please contact the Records Management Unit at (608) 261-8524 or via e-mail at pscrecs@wisconsin.gov.</t>
  </si>
  <si>
    <t>9.</t>
  </si>
  <si>
    <t>For any questions about the technical functions of the ERF system, please contact Paul Newman, the PSC’s Chief Information Officer, at (608) 267-5112 or via e-mail at paul.newman@wisconsin.gov.</t>
  </si>
  <si>
    <t>Operation labor and expenses</t>
  </si>
  <si>
    <t>Miscellaneous expenses</t>
  </si>
  <si>
    <t>Rents</t>
  </si>
  <si>
    <t>Maintenance supervision and engineering</t>
  </si>
  <si>
    <t>Maintenance of structures and improvements</t>
  </si>
  <si>
    <t xml:space="preserve">Maint. of collecting and impounding reservoirs </t>
  </si>
  <si>
    <t>Maintenance of lake, river, and other intakes</t>
  </si>
  <si>
    <t>Maintenance of wells and springs</t>
  </si>
  <si>
    <t>Maintenance of supply mains</t>
  </si>
  <si>
    <t>Maintenance of misc. water source plant</t>
  </si>
  <si>
    <t>Operation supervision and engineering</t>
  </si>
  <si>
    <t>Power production labor and expenses</t>
  </si>
  <si>
    <t>Fuel or power purchased for production</t>
  </si>
  <si>
    <t>Pumping labor and expenses</t>
  </si>
  <si>
    <t>Expenses transferred--credit</t>
  </si>
  <si>
    <t>Maintenance of power production equipment</t>
  </si>
  <si>
    <t>Maintenance of pumping equipment</t>
  </si>
  <si>
    <t>Maintenance of water treatment equipment</t>
  </si>
  <si>
    <t xml:space="preserve">Total Water Treatment Expenses </t>
  </si>
  <si>
    <t xml:space="preserve">Storage facilities expenses </t>
  </si>
  <si>
    <t>Transmission and distribution expenses</t>
  </si>
  <si>
    <t>Meter expenses</t>
  </si>
  <si>
    <t>Customer installations expenses</t>
  </si>
  <si>
    <t>Maintenance of distr.reservoirs and standpipes</t>
  </si>
  <si>
    <t>Maintenance of transmission and distr. mains</t>
  </si>
  <si>
    <t>Maintenance of miscellaneous plant</t>
  </si>
  <si>
    <t>Total Transmission and Distribution Expenses</t>
  </si>
  <si>
    <t>Supervision</t>
  </si>
  <si>
    <t>Customer records and collection expenses</t>
  </si>
  <si>
    <t>Miscellaneous customer accounts expenses</t>
  </si>
  <si>
    <t>Customer service and Information Expenses</t>
  </si>
  <si>
    <t>Duplicate charges -- credit</t>
  </si>
  <si>
    <t>Irrigation</t>
  </si>
  <si>
    <t xml:space="preserve">  Irrigation</t>
  </si>
  <si>
    <t>Salaries and wages</t>
  </si>
  <si>
    <t>Repairs of water plant</t>
  </si>
  <si>
    <t>Total Operation &amp; Maint. Expenses</t>
  </si>
  <si>
    <t>Insurance Expense</t>
  </si>
  <si>
    <t>Total General Expenses</t>
  </si>
  <si>
    <t>Total Oper. &amp; Maint. Expenses</t>
  </si>
  <si>
    <t>Residential 1</t>
  </si>
  <si>
    <t>Residential 2</t>
  </si>
  <si>
    <t>Residential 3</t>
  </si>
  <si>
    <t>Residential 4</t>
  </si>
  <si>
    <t>Commercial 2</t>
  </si>
  <si>
    <t>Commercial 1</t>
  </si>
  <si>
    <t>Commercial 3</t>
  </si>
  <si>
    <t>Commercial 4</t>
  </si>
  <si>
    <t>Industrial 1</t>
  </si>
  <si>
    <t>Industrial 2</t>
  </si>
  <si>
    <t>Industrial 3</t>
  </si>
  <si>
    <t>Industrial 4</t>
  </si>
  <si>
    <t>Public Authority 1</t>
  </si>
  <si>
    <t>Public Authority 2</t>
  </si>
  <si>
    <t>Public Authority 4</t>
  </si>
  <si>
    <t>Public Authority 3</t>
  </si>
  <si>
    <t>MF</t>
  </si>
  <si>
    <t>2. During the last 12-month period, list the highest consumption billed for each of the four largest customers in each class. Please select four different customers in each class and not multiple bills from the same customer. A customer may be listed more than once only if they are served by more than one meter and the meter sizes are different.</t>
  </si>
  <si>
    <t>Multifamily Residential 1</t>
  </si>
  <si>
    <t>Multifamily Residential 2</t>
  </si>
  <si>
    <t>Multifamily Residential 3</t>
  </si>
  <si>
    <t>Multifamily Residential 4</t>
  </si>
  <si>
    <t>Multifamily Residential</t>
  </si>
  <si>
    <t>Multifamily</t>
  </si>
  <si>
    <t>Irr.</t>
  </si>
  <si>
    <t xml:space="preserve">  Multifamily Residential</t>
  </si>
  <si>
    <r>
      <t xml:space="preserve">If plant accounts in </t>
    </r>
    <r>
      <rPr>
        <b/>
        <sz val="10"/>
        <color indexed="8"/>
        <rFont val="Arial"/>
        <family val="2"/>
      </rPr>
      <t>Attachment 11 and/or Attachment 11a</t>
    </r>
    <r>
      <rPr>
        <sz val="10"/>
        <color indexed="8"/>
        <rFont val="Arial"/>
        <family val="2"/>
      </rPr>
      <t xml:space="preserve"> (Utility Plant in Service) have transactions for the interim or test year for </t>
    </r>
    <r>
      <rPr>
        <b/>
        <sz val="10"/>
        <color indexed="8"/>
        <rFont val="Arial"/>
        <family val="2"/>
      </rPr>
      <t>Account 343 (Mains)</t>
    </r>
    <r>
      <rPr>
        <sz val="10"/>
        <color indexed="8"/>
        <rFont val="Arial"/>
        <family val="2"/>
      </rPr>
      <t xml:space="preserve"> or</t>
    </r>
    <r>
      <rPr>
        <b/>
        <sz val="10"/>
        <color indexed="8"/>
        <rFont val="Arial"/>
        <family val="2"/>
      </rPr>
      <t xml:space="preserve"> Account 348 (Hydrants)</t>
    </r>
    <r>
      <rPr>
        <sz val="10"/>
        <color indexed="8"/>
        <rFont val="Arial"/>
        <family val="2"/>
      </rPr>
      <t xml:space="preserve"> specify the units added and/or retired for each account . </t>
    </r>
  </si>
  <si>
    <t>Late Fees</t>
  </si>
  <si>
    <t>Water Service Installation</t>
  </si>
  <si>
    <t>Other Charges (Schedule OC-1)</t>
  </si>
  <si>
    <t>Non-Sufficient Funds</t>
  </si>
  <si>
    <t>Special Billing Charge</t>
  </si>
  <si>
    <t>Special Meter Reading Charge</t>
  </si>
  <si>
    <t>Missed Appointment Charge</t>
  </si>
  <si>
    <t>Real Estate Closing Charge</t>
  </si>
  <si>
    <t>Reconnection Charges (Schedule R-1)</t>
  </si>
  <si>
    <t>Normal Business Hours:</t>
  </si>
  <si>
    <t>After Hours:</t>
  </si>
  <si>
    <t>Public Fire Protection Charges (Schedule F-1)</t>
  </si>
  <si>
    <t>The Wisconsin Administrative Code provides alternatives for late payment charges on delinquent bills for service. If the utility is also regulated by the PSC for electric and/or sewer rates, it is recommended that the charge be consistent for all. Please indicate which late payment charge the utility wants to be included in its tariff.</t>
  </si>
  <si>
    <t>General Service Rate Design (Schedule Mg-1)</t>
  </si>
  <si>
    <t>Please indicate the preferred rate design for each customer class:</t>
  </si>
  <si>
    <t>Non-Residential</t>
  </si>
  <si>
    <t>Irrigation Rate (with Am-1)?</t>
  </si>
  <si>
    <t>Describe any proposed modifications to the general service rates:</t>
  </si>
  <si>
    <t>Please list any other proposed tariff or schedule changes below</t>
  </si>
  <si>
    <t>Total Meters</t>
  </si>
  <si>
    <t>Fixed Revenues</t>
  </si>
  <si>
    <t>Total Units</t>
  </si>
  <si>
    <t>Unit Revenues</t>
  </si>
  <si>
    <t>Average No. of Meters</t>
  </si>
  <si>
    <t>Charge</t>
  </si>
  <si>
    <t>Percent Variance   (B)</t>
  </si>
  <si>
    <t>Billing Periods per Year:</t>
  </si>
  <si>
    <t>Estimates for Test Year</t>
  </si>
  <si>
    <t>Total Estimated Revenues</t>
  </si>
  <si>
    <t>Municipal Charge</t>
  </si>
  <si>
    <t>Direct Charge to Customers</t>
  </si>
  <si>
    <t xml:space="preserve"> Test Year Units Over Base Units</t>
  </si>
  <si>
    <t xml:space="preserve"> Increase in Revenue Over Base Amount</t>
  </si>
  <si>
    <t xml:space="preserve"> Estimated Total Test Year Revenue </t>
  </si>
  <si>
    <t>Annual Revenue</t>
  </si>
  <si>
    <t xml:space="preserve"> times Authorized Rates per Unit (per tariff schedule)</t>
  </si>
  <si>
    <t>Other (specify):</t>
  </si>
  <si>
    <r>
      <t xml:space="preserve"> </t>
    </r>
    <r>
      <rPr>
        <b/>
        <sz val="11"/>
        <rFont val="Arial"/>
        <family val="2"/>
      </rPr>
      <t>Less</t>
    </r>
    <r>
      <rPr>
        <sz val="11"/>
        <rFont val="Arial"/>
        <family val="2"/>
      </rPr>
      <t>:  Local and school tax equivalent</t>
    </r>
  </si>
  <si>
    <r>
      <t xml:space="preserve">      the sewer bill, then the Meter Balance allocation should not be deducted.  </t>
    </r>
    <r>
      <rPr>
        <b/>
        <sz val="11"/>
        <rFont val="Arial"/>
        <family val="2"/>
      </rPr>
      <t>Insert if other than 50%. ==&gt;</t>
    </r>
  </si>
  <si>
    <r>
      <t xml:space="preserve">more than (plus or minus) 15 percent </t>
    </r>
    <r>
      <rPr>
        <b/>
        <sz val="10"/>
        <rFont val="Arial"/>
        <family val="2"/>
      </rPr>
      <t>must</t>
    </r>
    <r>
      <rPr>
        <sz val="10"/>
        <rFont val="Arial"/>
        <family val="2"/>
      </rPr>
      <t xml:space="preserve"> be explained in detail in the Notes.</t>
    </r>
  </si>
  <si>
    <t>The Private Fire Connections</t>
  </si>
  <si>
    <t xml:space="preserve">  the Commission for this rate increase application to be processed.  Please list the construction docket number(s):</t>
  </si>
  <si>
    <t>Amortization Expense--Account # 404 (specify):</t>
  </si>
  <si>
    <r>
      <t>TIMES</t>
    </r>
    <r>
      <rPr>
        <sz val="11"/>
        <rFont val="Arial"/>
        <family val="2"/>
      </rPr>
      <t xml:space="preserve"> Rate of Return Requested</t>
    </r>
  </si>
  <si>
    <r>
      <t>TIMES</t>
    </r>
    <r>
      <rPr>
        <sz val="11"/>
        <rFont val="Arial"/>
        <family val="2"/>
      </rPr>
      <t xml:space="preserve"> allowance on O&amp;M expenses</t>
    </r>
  </si>
  <si>
    <r>
      <t xml:space="preserve">      The Return on NIRB (A) </t>
    </r>
    <r>
      <rPr>
        <b/>
        <sz val="11"/>
        <rFont val="Arial"/>
        <family val="2"/>
      </rPr>
      <t>or</t>
    </r>
    <r>
      <rPr>
        <sz val="11"/>
        <rFont val="Arial"/>
        <family val="2"/>
      </rPr>
      <t xml:space="preserve"> the Operating Allowance (B)</t>
    </r>
  </si>
  <si>
    <t>Alt + Enter will insert a line into the notes box.</t>
  </si>
  <si>
    <t>the deferred expense schedule below.</t>
  </si>
  <si>
    <t>If the utility has a conservation program that was authorized by the PSC, please complete</t>
  </si>
  <si>
    <r>
      <rPr>
        <b/>
        <sz val="10"/>
        <rFont val="Arial"/>
        <family val="2"/>
      </rPr>
      <t>Note</t>
    </r>
    <r>
      <rPr>
        <sz val="10"/>
        <rFont val="Arial"/>
        <family val="2"/>
      </rPr>
      <t>: If more than one water utility impact fee exists, answer the above questions for each project.</t>
    </r>
  </si>
  <si>
    <t>4)</t>
  </si>
  <si>
    <r>
      <t xml:space="preserve">Total Sales of Water </t>
    </r>
    <r>
      <rPr>
        <u/>
        <sz val="11"/>
        <rFont val="Arial"/>
        <family val="2"/>
      </rPr>
      <t>at Current Rates:</t>
    </r>
  </si>
  <si>
    <t>Please explain if meters read in cycles:</t>
  </si>
  <si>
    <r>
      <t xml:space="preserve"> </t>
    </r>
    <r>
      <rPr>
        <sz val="10"/>
        <rFont val="Arial"/>
        <family val="2"/>
      </rPr>
      <t>If any of the additions listed above require that Construction Approval be obtained from the PSC, such approval must have been sought</t>
    </r>
  </si>
  <si>
    <r>
      <t>NOTE</t>
    </r>
    <r>
      <rPr>
        <sz val="10"/>
        <rFont val="Arial"/>
        <family val="2"/>
      </rPr>
      <t>:  Construction Approval is required for Contributed Plant as well as Plant Financed by the Utility and Municipality.</t>
    </r>
  </si>
  <si>
    <t>Rate (A)</t>
  </si>
  <si>
    <t>Rate (B)</t>
  </si>
  <si>
    <t>Expense (1)</t>
  </si>
  <si>
    <t>Outstanding Debt Issues - Detailed List:</t>
  </si>
  <si>
    <t>Less:    Plant Outside Limits - January 1</t>
  </si>
  <si>
    <r>
      <t>Assessment Ratio (</t>
    </r>
    <r>
      <rPr>
        <b/>
        <sz val="10"/>
        <rFont val="Arial"/>
        <family val="2"/>
      </rPr>
      <t>show as a decimal</t>
    </r>
    <r>
      <rPr>
        <sz val="10"/>
        <rFont val="Arial"/>
        <family val="2"/>
      </rPr>
      <t>)</t>
    </r>
  </si>
  <si>
    <t>Less:  State Credit</t>
  </si>
  <si>
    <t>Does the utility have class-based volume rates?</t>
  </si>
  <si>
    <t>VOLUME SALES</t>
  </si>
  <si>
    <t>Total Volume Revenue</t>
  </si>
  <si>
    <t>SERVICE CHARGES</t>
  </si>
  <si>
    <t xml:space="preserve">Attachment 3A - Volume Sales Test Year </t>
  </si>
  <si>
    <t>Attachment 3B - Meter Sales Test Year</t>
  </si>
  <si>
    <t>100 Cubic Feet (CCF)</t>
  </si>
  <si>
    <t>General/Residential</t>
  </si>
  <si>
    <t>In Progress</t>
  </si>
  <si>
    <t>Complete</t>
  </si>
  <si>
    <t>Error/
Warning</t>
  </si>
  <si>
    <r>
      <t>Financed by Utility or Municipality</t>
    </r>
    <r>
      <rPr>
        <b/>
        <sz val="10"/>
        <rFont val="Arial"/>
        <family val="2"/>
      </rPr>
      <t>:</t>
    </r>
  </si>
  <si>
    <r>
      <t xml:space="preserve">If the municipality has authorized a lower amount as allowed by Wis. Stat. § 66.0811(2), then place that amount on this line. </t>
    </r>
    <r>
      <rPr>
        <b/>
        <sz val="10"/>
        <rFont val="Arial"/>
        <family val="2"/>
      </rPr>
      <t xml:space="preserve"> If no authorization, leave blank.</t>
    </r>
    <r>
      <rPr>
        <sz val="10"/>
        <rFont val="Arial"/>
        <family val="2"/>
      </rPr>
      <t xml:space="preserve"> ===&gt;</t>
    </r>
  </si>
  <si>
    <t xml:space="preserve">  Less: Plant Outside Municipality  </t>
  </si>
  <si>
    <t xml:space="preserve">Net Taxable Plant   </t>
  </si>
  <si>
    <t xml:space="preserve">Total Step II NET Plant Additions  </t>
  </si>
  <si>
    <t>Times Assessment Ratio (per Attachment 9)</t>
  </si>
  <si>
    <t>Times Net Local and School Rate (per Attachment 9)</t>
  </si>
  <si>
    <t>Amortization Expense--Acct # 404 (If Step II--specify):</t>
  </si>
  <si>
    <r>
      <t>TIMES</t>
    </r>
    <r>
      <rPr>
        <sz val="10"/>
        <rFont val="Arial"/>
        <family val="2"/>
      </rPr>
      <t xml:space="preserve"> Rate of Return Requested for Step II:</t>
    </r>
  </si>
  <si>
    <r>
      <t>TIMES</t>
    </r>
    <r>
      <rPr>
        <sz val="10"/>
        <rFont val="Arial"/>
        <family val="2"/>
      </rPr>
      <t xml:space="preserve"> allowance on O&amp;M expenses</t>
    </r>
  </si>
  <si>
    <r>
      <t xml:space="preserve">      The Return on NIRB (A) </t>
    </r>
    <r>
      <rPr>
        <b/>
        <sz val="10"/>
        <rFont val="Arial"/>
        <family val="2"/>
      </rPr>
      <t>or</t>
    </r>
    <r>
      <rPr>
        <sz val="10"/>
        <rFont val="Arial"/>
        <family val="2"/>
      </rPr>
      <t xml:space="preserve"> the Operating Allowance (B)</t>
    </r>
  </si>
  <si>
    <r>
      <t xml:space="preserve"> Total Sales of Water</t>
    </r>
    <r>
      <rPr>
        <u/>
        <sz val="10"/>
        <rFont val="Arial"/>
        <family val="2"/>
      </rPr>
      <t xml:space="preserve"> at Current Rates:</t>
    </r>
  </si>
  <si>
    <t xml:space="preserve">   The requested return can be different than in Step I.  
   Enter the Step II requested rate in this box. </t>
  </si>
  <si>
    <t>Use http://psc.wi.gov/apps40/erf_public/default.aspx to submit filings to the PSC.</t>
  </si>
  <si>
    <t>Attachment 16 - Impact Fees</t>
  </si>
  <si>
    <t>Days Available</t>
  </si>
  <si>
    <t>Are you interested in rate design to promote conservation goals?</t>
  </si>
  <si>
    <t>Attachment 18 - Water Conservation Spending</t>
  </si>
  <si>
    <t>Attachment 3W - Wholesale Revenues</t>
  </si>
  <si>
    <t>Irrigation 1</t>
  </si>
  <si>
    <t>Irrigation 2</t>
  </si>
  <si>
    <t>Irrigation 3</t>
  </si>
  <si>
    <t>Irrigation 4</t>
  </si>
  <si>
    <t>TOTAL ESTIMATED TEST YEAR WHOLESALE FIRE PROTECTION REVENUE</t>
  </si>
  <si>
    <t>Billing periods --&gt;</t>
  </si>
  <si>
    <t>Enter Test Year Estimates on this Line</t>
  </si>
  <si>
    <t>3024 (1-1-2014)</t>
  </si>
  <si>
    <t>Please enter the construction docket(s) below:</t>
  </si>
  <si>
    <t xml:space="preserve">  Please list the construction docket(s) below:</t>
  </si>
  <si>
    <t>How will the utility collect the PFP charge?</t>
  </si>
  <si>
    <t>List the meter size, billing date, and the billed consumption.</t>
  </si>
  <si>
    <t>Attachment 2A – Consumer Analysis-Actual Latest 12 Months (Volume Sales)</t>
  </si>
  <si>
    <t>Attachment 3A – Consumer Analysis-Test Year (Volume Sales)</t>
  </si>
  <si>
    <t>Attachment 3B - Consumer Analysis - Test Year (Service Charges)</t>
  </si>
  <si>
    <t>Attachment 2B - Consumer Analysis - Actual Latest 12 Months (Service Charges)</t>
  </si>
  <si>
    <t>Attachment 9 – Payment in Lieu of Tax Expense</t>
  </si>
  <si>
    <t>Attachment 13 –  Accumulated Depreciation, Materials &amp; Supplies Inventory, Regulatory Liability, and Other Adjustments</t>
  </si>
  <si>
    <t>Attachment 16 – Impact Fees</t>
  </si>
  <si>
    <t>Attachment 23 – Directions for Submitting Application to PSC</t>
  </si>
  <si>
    <t>The application must be filed with the PSC prior to August 1, 2014 and should be based on a 2014 test year.  Applications filed
after August 1, 2014, should be based on a 2015 test year.</t>
  </si>
  <si>
    <t>Provide the authorized rates for volume consistent with Schedule Mg -1.</t>
  </si>
  <si>
    <t xml:space="preserve">At the top of the Attachment 2A, indicate the number of annual billings, such as 4 for quarterly billing. This is the basis for computing the annual revenue for meter charges. </t>
  </si>
  <si>
    <t>Provide the actual total volume for the most recent 12-months for each class.</t>
  </si>
  <si>
    <t xml:space="preserve">   a.  Provide the authorized meter charges consistent with Schedule Mg-1.</t>
  </si>
  <si>
    <t xml:space="preserve">   b.  Complete Attachment 2B using actual data from the 12 months for each customer class.</t>
  </si>
  <si>
    <t xml:space="preserve">   c.  The average number of meters is determined based upon the acutal number billed each period and averaged depending on the </t>
  </si>
  <si>
    <t xml:space="preserve">        number of billing periods for the latest 12 months.</t>
  </si>
  <si>
    <t xml:space="preserve">   d.  Provide the actual total billed revenues for the same 12 months.  If the variance between the total revenues and actul billed</t>
  </si>
  <si>
    <t xml:space="preserve">        revenue is greater than 3 percent for any customer class, the variance must be explained in the Notes (Attachment 19).</t>
  </si>
  <si>
    <t>Provide the authorized meter charges consistent with Schedule Mg-1.</t>
  </si>
  <si>
    <t>Complete Attachment 2B using actual data from the 12 months for each customer class.</t>
  </si>
  <si>
    <t xml:space="preserve">The average number of meters is determined based upon the actual number of billed each period and averaged depending on </t>
  </si>
  <si>
    <t>the number of billing periods for the latest 12 months.</t>
  </si>
  <si>
    <t>Provide the actual total billed revenues for the same 12 months.  If the variance between the total revenues and actual billed</t>
  </si>
  <si>
    <t>The schedule is a continuation of Attachment 2A.</t>
  </si>
  <si>
    <t>Complete Attachment 2A using actual data from the latest 12 months for each customer class.</t>
  </si>
  <si>
    <t>revenues is greater than 3 percent for any customer class, the variance must be explained in the Notes (Attachment 19)</t>
  </si>
  <si>
    <t>Attachment 2C - Sales Historical Data and Forecasts</t>
  </si>
  <si>
    <t xml:space="preserve">Attachment 3A – Consumer Analysis-Test Year (Volume Sales) </t>
  </si>
  <si>
    <r>
      <t xml:space="preserve">Using the data from Attachment 2, (percentage distribution of volume sales by rate blocks ), provide a consumer analysis for the </t>
    </r>
    <r>
      <rPr>
        <b/>
        <i/>
        <u/>
        <sz val="10"/>
        <color indexed="10"/>
        <rFont val="Arial"/>
        <family val="2"/>
      </rPr>
      <t>estimated test year</t>
    </r>
    <r>
      <rPr>
        <b/>
        <i/>
        <u/>
        <sz val="10"/>
        <color indexed="18"/>
        <rFont val="Arial"/>
        <family val="2"/>
      </rPr>
      <t>.</t>
    </r>
  </si>
  <si>
    <r>
      <t xml:space="preserve">Provide the meter charges for the </t>
    </r>
    <r>
      <rPr>
        <b/>
        <i/>
        <u/>
        <sz val="10"/>
        <color indexed="10"/>
        <rFont val="Arial"/>
        <family val="2"/>
      </rPr>
      <t>estimated test year</t>
    </r>
    <r>
      <rPr>
        <sz val="10"/>
        <rFont val="Arial"/>
        <family val="2"/>
      </rPr>
      <t>.</t>
    </r>
  </si>
  <si>
    <t>The consumer analysis must include any projection of customer growth due or demand reduction due to conservation.</t>
  </si>
  <si>
    <t>Complete details concerning the gain or loss or any large customer should be explained in the Notes (Attachment 19)</t>
  </si>
  <si>
    <t>If necessary please explain in the Notes (Attachment 19).</t>
  </si>
  <si>
    <t>This schedule is a continuation of Attachment 3A.</t>
  </si>
  <si>
    <t>Attachment 9 – Property in Lieu of Tax Expense</t>
  </si>
  <si>
    <t>Attachment 13 – Accumulated Depreciation, Materials and Supplies Inventory, Regulatory Liability and Other Adjustments</t>
  </si>
  <si>
    <t>List test year consumption estimates for each wholesale customer.</t>
  </si>
  <si>
    <t>Details concerning any large changes in usage or the gain or loss of a large customer served by a wholesale customer should be explained in the Notes (Attachment 18).</t>
  </si>
  <si>
    <t>For a Municipal Charge based upon mains and/or hydrants, complete the MUNICIPAL CHARGE section of Attachment 5.</t>
  </si>
  <si>
    <t>For Direct Charges to Customers based upon equivalent meters or equivalent services, complete DIRECT CHARGE TO CUSTOMERS section.</t>
  </si>
  <si>
    <t>i.    The Authorized Rates are obtained from the current tariff sheet, typically Schedule F-1 or Fd-1.</t>
  </si>
  <si>
    <t>The Average Number of Meters is derived from Attachment 3B.</t>
  </si>
  <si>
    <t>Attachment 9 includes the instructions for completing the Payment in Lieu of Tax Expense.</t>
  </si>
  <si>
    <t>Rate case expenses are included in Regulatory Commission Expense and should be normalized over an appropriate time period based upon the utility’s past frequency of rate increase requests.</t>
  </si>
  <si>
    <t>Attachment 11 – Utility Plant in Service - Financed by Utility or Municipality</t>
  </si>
  <si>
    <t>Additions and retirements should be estimated for both the interim year and the test year.</t>
  </si>
  <si>
    <t>Attachment 11a– Utility Plant in Service--Contributed Plant</t>
  </si>
  <si>
    <t>An allocation of 50 percent of meter depreciation to the sewer department is calculated automatically.  If the allocation for your utility is different, insert the applicable percent in the space provided.</t>
  </si>
  <si>
    <t xml:space="preserve">For Regulatory Liability, enter the estimated year-end balances. This beginning balance recorded in 2004 represents the pre-2003 historival accumulated provision for depreciation on contributed plant as prescribed in the Commission's supplemental decision in docket 05-US-105.  The balance transferred in 2004 should be amortized in equal annual amounts to Account 425,Miscellaneous Amortization over a period of 20 years.  </t>
  </si>
  <si>
    <t>ii.   A guideline for a maximum ROR is to use the current market cost of 30-year municipal bonds plus 2.00 percent.  Typically the range will be 5.50 to 7.00 percent.</t>
  </si>
  <si>
    <t>iv.  If you have questions about estimating the ROR, please contact PSC for assistance.</t>
  </si>
  <si>
    <t>Indicate the number of feet of main and number of hydrants being added and retired.</t>
  </si>
  <si>
    <t>Attachment 18 – Water Conservation Spending</t>
  </si>
  <si>
    <t>This attachment requests information about the utility's water conservation spending.  The utility only needs to complete this
schedule if it has a PSC approved water conservation program.</t>
  </si>
  <si>
    <t>In Part Two, if amounts for materials and supplies are included in the Step II Additional column, explain fully in the Notes (Attachment 22).</t>
  </si>
  <si>
    <t>Part Three calculates the requested increase.</t>
  </si>
  <si>
    <t>d.  The items that need to be corrected will appear in "red" in the edit check listing.</t>
  </si>
  <si>
    <t>Class-based rates are separate rate schedules for residential, commercial, or other special classes</t>
  </si>
  <si>
    <t>ATTACHMENT 2A</t>
  </si>
  <si>
    <t>ATTACHMENT 2B</t>
  </si>
  <si>
    <t>Attachment 2C</t>
  </si>
  <si>
    <t>ATTACHMENT 3A</t>
  </si>
  <si>
    <t>ATTACHMENT 3B</t>
  </si>
  <si>
    <t>ATTACHMENT 3W</t>
  </si>
  <si>
    <t>Attachment 2B - Meter Sales Historical</t>
  </si>
  <si>
    <t>Attachment 2A - Volume Sales Historical</t>
  </si>
  <si>
    <t>All remaining general items in the edit check list should be fully explained in the Notes on Attachment 19.</t>
  </si>
  <si>
    <t>Only change these rates if there has been an SRC or adjustment for purchased water in the last 12 months</t>
  </si>
  <si>
    <t xml:space="preserve">Note:  </t>
  </si>
  <si>
    <t>List rates and billing frequency consistent with Schedule W-1 in your tariff sheet.</t>
  </si>
  <si>
    <t>For general questions about the process of electronic filing or instructions on formatting, etc., please contact the Records Management Unit at (608) 261-8521 or via e-mail at Rebecca.Yoh@wisconsin.gov.</t>
  </si>
  <si>
    <t>No</t>
  </si>
  <si>
    <t>Irrigation/ Other</t>
  </si>
  <si>
    <t>AB</t>
  </si>
  <si>
    <t>Util Name</t>
  </si>
  <si>
    <t>MADISON WATER UTILITY</t>
  </si>
  <si>
    <t>Util ID</t>
  </si>
  <si>
    <t>2014 data is:</t>
  </si>
  <si>
    <t>_Sales Hist</t>
  </si>
  <si>
    <t>461.1</t>
  </si>
  <si>
    <t>461.2</t>
  </si>
  <si>
    <t>Commerical</t>
  </si>
  <si>
    <t>461.3</t>
  </si>
  <si>
    <t>461.4</t>
  </si>
  <si>
    <t>_Wholesale Revenues</t>
  </si>
  <si>
    <t>Fitchburg Utility District No 1</t>
  </si>
  <si>
    <t>Village of Maple Bluff</t>
  </si>
  <si>
    <t>Village of Shorewood Hills</t>
  </si>
  <si>
    <t>Waunona Sanitary District No. 2</t>
  </si>
  <si>
    <t>_Revenue</t>
  </si>
  <si>
    <t>460.1</t>
  </si>
  <si>
    <t>460.2</t>
  </si>
  <si>
    <t>460.3</t>
  </si>
  <si>
    <t>460.4</t>
  </si>
  <si>
    <t>462</t>
  </si>
  <si>
    <t>463</t>
  </si>
  <si>
    <t>465</t>
  </si>
  <si>
    <t>466</t>
  </si>
  <si>
    <t>467</t>
  </si>
  <si>
    <t>470</t>
  </si>
  <si>
    <t>472</t>
  </si>
  <si>
    <t>473</t>
  </si>
  <si>
    <t>474</t>
  </si>
  <si>
    <t>460.5</t>
  </si>
  <si>
    <t>460.6</t>
  </si>
  <si>
    <t>461.5</t>
  </si>
  <si>
    <t>461.6</t>
  </si>
  <si>
    <t>Less: Local and School Tax Equivalent on Meters Charged to Sewer Department</t>
  </si>
  <si>
    <t>PSC Remainder Assessment</t>
  </si>
  <si>
    <t>Social Security</t>
  </si>
  <si>
    <t>State Tax Rate</t>
  </si>
  <si>
    <t>County Tax Rate</t>
  </si>
  <si>
    <t>Local Tax Rate</t>
  </si>
  <si>
    <t>School Tax Rate</t>
  </si>
  <si>
    <t>Voc School Tax Rate</t>
  </si>
  <si>
    <t>Oth Tax Rate - Local</t>
  </si>
  <si>
    <t>Oth Tax Rate - Non Local</t>
  </si>
  <si>
    <t>State Credit</t>
  </si>
  <si>
    <t>Plant Outside Limit</t>
  </si>
  <si>
    <t>Assessment Ratio</t>
  </si>
  <si>
    <t>Util Plant Amt</t>
  </si>
  <si>
    <t>Material Supply Amt</t>
  </si>
  <si>
    <t>prior yr tx equiv amt</t>
  </si>
  <si>
    <t>muni auth lower tx equiv amt</t>
  </si>
  <si>
    <t>curr yr tx equiv amt</t>
  </si>
  <si>
    <t>CWIP</t>
  </si>
  <si>
    <t>_Oper Exp</t>
  </si>
  <si>
    <t>600</t>
  </si>
  <si>
    <t>601</t>
  </si>
  <si>
    <t>602</t>
  </si>
  <si>
    <t>603</t>
  </si>
  <si>
    <t>604</t>
  </si>
  <si>
    <t>610</t>
  </si>
  <si>
    <t>611</t>
  </si>
  <si>
    <t>612</t>
  </si>
  <si>
    <t>613</t>
  </si>
  <si>
    <t>614</t>
  </si>
  <si>
    <t>616</t>
  </si>
  <si>
    <t>617</t>
  </si>
  <si>
    <t>620</t>
  </si>
  <si>
    <t>621</t>
  </si>
  <si>
    <t>622</t>
  </si>
  <si>
    <t>623</t>
  </si>
  <si>
    <t>624</t>
  </si>
  <si>
    <t>625</t>
  </si>
  <si>
    <t>626</t>
  </si>
  <si>
    <t>627</t>
  </si>
  <si>
    <t>630</t>
  </si>
  <si>
    <t>631</t>
  </si>
  <si>
    <t>632</t>
  </si>
  <si>
    <t>633</t>
  </si>
  <si>
    <t>640</t>
  </si>
  <si>
    <t>641</t>
  </si>
  <si>
    <t>642</t>
  </si>
  <si>
    <t>643</t>
  </si>
  <si>
    <t>644</t>
  </si>
  <si>
    <t>650</t>
  </si>
  <si>
    <t>651</t>
  </si>
  <si>
    <t>652</t>
  </si>
  <si>
    <t>660</t>
  </si>
  <si>
    <t>661</t>
  </si>
  <si>
    <t>662</t>
  </si>
  <si>
    <t>663</t>
  </si>
  <si>
    <t>664</t>
  </si>
  <si>
    <t>665</t>
  </si>
  <si>
    <t>666</t>
  </si>
  <si>
    <t>670</t>
  </si>
  <si>
    <t>671</t>
  </si>
  <si>
    <t>672</t>
  </si>
  <si>
    <t>673</t>
  </si>
  <si>
    <t>675</t>
  </si>
  <si>
    <t>676</t>
  </si>
  <si>
    <t>677</t>
  </si>
  <si>
    <t>678</t>
  </si>
  <si>
    <t>901</t>
  </si>
  <si>
    <t>902</t>
  </si>
  <si>
    <t>903</t>
  </si>
  <si>
    <t>904</t>
  </si>
  <si>
    <t>905</t>
  </si>
  <si>
    <t>906</t>
  </si>
  <si>
    <t>910</t>
  </si>
  <si>
    <t>920</t>
  </si>
  <si>
    <t>921</t>
  </si>
  <si>
    <t>922</t>
  </si>
  <si>
    <t>923</t>
  </si>
  <si>
    <t>924</t>
  </si>
  <si>
    <t>925</t>
  </si>
  <si>
    <t>926</t>
  </si>
  <si>
    <t>928</t>
  </si>
  <si>
    <t>929</t>
  </si>
  <si>
    <t>930</t>
  </si>
  <si>
    <t>931</t>
  </si>
  <si>
    <t>932</t>
  </si>
  <si>
    <t>_Plant</t>
  </si>
  <si>
    <t>301</t>
  </si>
  <si>
    <t>302</t>
  </si>
  <si>
    <t>303</t>
  </si>
  <si>
    <t>310</t>
  </si>
  <si>
    <t>311</t>
  </si>
  <si>
    <t>312</t>
  </si>
  <si>
    <t>313</t>
  </si>
  <si>
    <t>314</t>
  </si>
  <si>
    <t>316</t>
  </si>
  <si>
    <t>317</t>
  </si>
  <si>
    <t>320</t>
  </si>
  <si>
    <t>321</t>
  </si>
  <si>
    <t>323</t>
  </si>
  <si>
    <t>325</t>
  </si>
  <si>
    <t>326</t>
  </si>
  <si>
    <t>328</t>
  </si>
  <si>
    <t>330</t>
  </si>
  <si>
    <t>331</t>
  </si>
  <si>
    <t>332</t>
  </si>
  <si>
    <t>333</t>
  </si>
  <si>
    <t>334</t>
  </si>
  <si>
    <t>340</t>
  </si>
  <si>
    <t>341</t>
  </si>
  <si>
    <t>342</t>
  </si>
  <si>
    <t>343</t>
  </si>
  <si>
    <t>345</t>
  </si>
  <si>
    <t>346</t>
  </si>
  <si>
    <t>348</t>
  </si>
  <si>
    <t>349</t>
  </si>
  <si>
    <t>389</t>
  </si>
  <si>
    <t>390</t>
  </si>
  <si>
    <t>391</t>
  </si>
  <si>
    <t>391.1</t>
  </si>
  <si>
    <t>392</t>
  </si>
  <si>
    <t>393</t>
  </si>
  <si>
    <t>394</t>
  </si>
  <si>
    <t>395</t>
  </si>
  <si>
    <t>396</t>
  </si>
  <si>
    <t>397</t>
  </si>
  <si>
    <t>397.1</t>
  </si>
  <si>
    <t>398</t>
  </si>
  <si>
    <t>_ContribPlnt</t>
  </si>
  <si>
    <t>Attach13</t>
  </si>
  <si>
    <t>Yes</t>
  </si>
  <si>
    <t>Monthly</t>
  </si>
  <si>
    <t>2007-A Revenue Bond</t>
  </si>
  <si>
    <t>2007-B Refunding Bond</t>
  </si>
  <si>
    <t>2009-A Refunding Bond</t>
  </si>
  <si>
    <t>2009-B Refunding Bond</t>
  </si>
  <si>
    <t>2009-C Revenue Bond</t>
  </si>
  <si>
    <t>2011 Revenue Bond</t>
  </si>
  <si>
    <t>2012 Revenue Bond</t>
  </si>
  <si>
    <t>2013 Revenue Bond</t>
  </si>
  <si>
    <t>2010 Build America Bond</t>
  </si>
  <si>
    <t>Advance from City - WRS</t>
  </si>
  <si>
    <t>Borrowing from City</t>
  </si>
  <si>
    <t>Advance from City - Burke UD</t>
  </si>
  <si>
    <t>2014 New Issue</t>
  </si>
  <si>
    <t>Direct Charge on Water Bill</t>
  </si>
  <si>
    <t>Yes - including vacant lots</t>
  </si>
  <si>
    <t>Seasonal Rate</t>
  </si>
  <si>
    <t>2015 New Issue</t>
  </si>
  <si>
    <t>2016 New Issue</t>
  </si>
  <si>
    <t>Trilogy Consulting, LLC</t>
  </si>
  <si>
    <t>Erik Granum</t>
  </si>
  <si>
    <t>Christine Cramer</t>
  </si>
  <si>
    <t>231 East Buffalo Street, Suite 306</t>
  </si>
  <si>
    <t>Milwaukee, WI  53202</t>
  </si>
  <si>
    <t>(920) 723-2169</t>
  </si>
  <si>
    <t>(262) 470-2277</t>
  </si>
  <si>
    <t>egranum@trilogy-llc.com</t>
  </si>
  <si>
    <t>(262) 436-2102</t>
  </si>
  <si>
    <t>M-F</t>
  </si>
  <si>
    <t>3280-CW-108; 3280-CW-111; 3280-CW-113; 3280-CW-114; 3280-CW-115</t>
  </si>
  <si>
    <t>Envelopes</t>
  </si>
  <si>
    <t>Meters are read in cycle (one-third of customers are read each month).</t>
  </si>
  <si>
    <t>1% per month charge</t>
  </si>
  <si>
    <t>No - water rates only</t>
  </si>
  <si>
    <t>Equivalent Meter</t>
  </si>
  <si>
    <t>Increases in operation and maintenance expense and significant annual investments in utility plant.</t>
  </si>
  <si>
    <t>Michael Krentz</t>
  </si>
  <si>
    <t>119 E. Olin Avenue</t>
  </si>
  <si>
    <t>Tom Heikkinen</t>
  </si>
  <si>
    <t>Madison 53713</t>
  </si>
  <si>
    <t>Dane</t>
  </si>
  <si>
    <t>(608) 266-4645</t>
  </si>
  <si>
    <t>(608) 266-4651</t>
  </si>
  <si>
    <t>MKrentz@madisonwater.org</t>
  </si>
  <si>
    <t>(608) 266-4426</t>
  </si>
  <si>
    <t>8:30 am - 5:00 pm</t>
  </si>
  <si>
    <t>7:30 am - 4:00 pm</t>
  </si>
  <si>
    <t>Uniform Rate</t>
  </si>
  <si>
    <t>The Utility is still evaluating proposed rate designs based on analysis of AMI data and will submit a proposed cost of service study and rate design after the revenue requirements are finalized. It is anticipated that the Utility will propose separate rate structures for each customer class; final proposed rates may differ from the preferences indicated above.</t>
  </si>
  <si>
    <t xml:space="preserve">Notes are included on a separate document.
</t>
  </si>
  <si>
    <t>Since the Utility offices are located in Madison, the Utility would prefer to hold the hearing at Public Service Commission offices.</t>
  </si>
  <si>
    <t>The first monthly bills were sent to customers in September 2014. Prior to September 2014, bills were sent out every 6 months for most customers. In August 2014, catch-up bills were sent that included anywhere from 1 to 6 months of usage, depending on the cycle. Going forward, meters will be read in gallons.</t>
  </si>
  <si>
    <t>(Per attachment 3W)</t>
  </si>
  <si>
    <t>The Utility would like to add a different charge for reconnection when a meter is reinstalled, to reflect that the procedure is more costly than simple turn on. The Utility will also be requesting a change in the charges for reading non-standard meters based on records of actual costs.  The tariff should be revised to apply the NSF charge to all forms of returned or stopped payment, regardless of the form of payment. The Utility is also requesting to charge public fire protection charges to developed lots that are not current water customers (but not vacant lots). The Utility is still evaluating the desired charges to be included in Schedule OC-1.</t>
  </si>
</sst>
</file>

<file path=xl/styles.xml><?xml version="1.0" encoding="utf-8"?>
<styleSheet xmlns="http://schemas.openxmlformats.org/spreadsheetml/2006/main">
  <numFmts count="1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quot;$&quot;#,##0"/>
    <numFmt numFmtId="166" formatCode="&quot;$&quot;#,##0.00"/>
    <numFmt numFmtId="167" formatCode="0_);\(0\)"/>
    <numFmt numFmtId="168" formatCode="#,##0.0000_);\(#,##0.0000\)"/>
    <numFmt numFmtId="169" formatCode="#,##0.000000_);\(#,##0.000000\)"/>
    <numFmt numFmtId="170" formatCode="0.000000%"/>
    <numFmt numFmtId="171" formatCode="mm/dd/yy;@"/>
    <numFmt numFmtId="172" formatCode="0_);[Red]\(0\)"/>
    <numFmt numFmtId="173" formatCode="_(&quot;$&quot;* #,##0_);_(&quot;$&quot;* \(#,##0\);_(&quot;$&quot;* &quot;-&quot;??_);_(@_)"/>
    <numFmt numFmtId="174" formatCode="0.000000_);[Red]\(0.000000\)"/>
    <numFmt numFmtId="175" formatCode="_(* #,##0_);_(* \(#,##0\);_(* &quot;-&quot;??_);_(@_)"/>
  </numFmts>
  <fonts count="87">
    <font>
      <sz val="11"/>
      <color theme="1"/>
      <name val="Calibri"/>
      <family val="2"/>
      <scheme val="minor"/>
    </font>
    <font>
      <sz val="10"/>
      <name val="Arial"/>
      <family val="2"/>
    </font>
    <font>
      <sz val="10"/>
      <name val="Arial"/>
      <family val="2"/>
    </font>
    <font>
      <b/>
      <sz val="10"/>
      <name val="Arial"/>
      <family val="2"/>
    </font>
    <font>
      <i/>
      <sz val="10"/>
      <name val="Arial"/>
      <family val="2"/>
    </font>
    <font>
      <sz val="12"/>
      <name val="Courier"/>
      <family val="3"/>
    </font>
    <font>
      <sz val="12"/>
      <name val="Times New Roman"/>
      <family val="1"/>
    </font>
    <font>
      <sz val="10"/>
      <color indexed="16"/>
      <name val="Arial"/>
      <family val="2"/>
    </font>
    <font>
      <b/>
      <sz val="10"/>
      <color indexed="18"/>
      <name val="Arial"/>
      <family val="2"/>
    </font>
    <font>
      <u/>
      <sz val="10"/>
      <color indexed="12"/>
      <name val="Arial"/>
      <family val="2"/>
    </font>
    <font>
      <b/>
      <sz val="10"/>
      <color indexed="12"/>
      <name val="Arial"/>
      <family val="2"/>
    </font>
    <font>
      <b/>
      <u/>
      <sz val="10"/>
      <color indexed="12"/>
      <name val="Arial"/>
      <family val="2"/>
    </font>
    <font>
      <b/>
      <sz val="12"/>
      <name val="Times New Roman"/>
      <family val="1"/>
    </font>
    <font>
      <sz val="7"/>
      <name val="Times New Roman"/>
      <family val="1"/>
    </font>
    <font>
      <sz val="10"/>
      <color indexed="12"/>
      <name val="Arial"/>
      <family val="2"/>
    </font>
    <font>
      <b/>
      <sz val="11"/>
      <name val="Arial"/>
      <family val="2"/>
    </font>
    <font>
      <sz val="12"/>
      <name val="Arial"/>
      <family val="2"/>
    </font>
    <font>
      <b/>
      <sz val="12"/>
      <name val="Arial"/>
      <family val="2"/>
    </font>
    <font>
      <b/>
      <i/>
      <u/>
      <sz val="10"/>
      <color indexed="10"/>
      <name val="Arial"/>
      <family val="2"/>
    </font>
    <font>
      <b/>
      <i/>
      <u/>
      <sz val="10"/>
      <color indexed="18"/>
      <name val="Arial"/>
      <family val="2"/>
    </font>
    <font>
      <b/>
      <sz val="12"/>
      <color indexed="12"/>
      <name val="Arial"/>
      <family val="2"/>
    </font>
    <font>
      <b/>
      <u/>
      <sz val="10"/>
      <color indexed="18"/>
      <name val="Arial"/>
      <family val="2"/>
    </font>
    <font>
      <sz val="10"/>
      <color indexed="18"/>
      <name val="Arial"/>
      <family val="2"/>
    </font>
    <font>
      <u/>
      <sz val="10"/>
      <color indexed="18"/>
      <name val="Arial"/>
      <family val="2"/>
    </font>
    <font>
      <b/>
      <u/>
      <sz val="10"/>
      <color indexed="14"/>
      <name val="Arial"/>
      <family val="2"/>
    </font>
    <font>
      <u/>
      <sz val="10"/>
      <name val="Arial"/>
      <family val="2"/>
    </font>
    <font>
      <sz val="10"/>
      <color indexed="10"/>
      <name val="Arial"/>
      <family val="2"/>
    </font>
    <font>
      <i/>
      <sz val="12"/>
      <name val="Arial"/>
      <family val="2"/>
    </font>
    <font>
      <b/>
      <u/>
      <sz val="10"/>
      <name val="Arial"/>
      <family val="2"/>
    </font>
    <font>
      <i/>
      <sz val="10"/>
      <color indexed="10"/>
      <name val="Arial"/>
      <family val="2"/>
    </font>
    <font>
      <i/>
      <sz val="10"/>
      <color indexed="12"/>
      <name val="Arial"/>
      <family val="2"/>
    </font>
    <font>
      <sz val="10"/>
      <color indexed="56"/>
      <name val="Arial"/>
      <family val="2"/>
    </font>
    <font>
      <sz val="10"/>
      <color indexed="8"/>
      <name val="Arial"/>
      <family val="2"/>
    </font>
    <font>
      <b/>
      <sz val="10"/>
      <color indexed="8"/>
      <name val="Arial"/>
      <family val="2"/>
    </font>
    <font>
      <sz val="10"/>
      <color indexed="8"/>
      <name val="Arial"/>
      <family val="2"/>
    </font>
    <font>
      <sz val="12"/>
      <color indexed="12"/>
      <name val="Arial"/>
      <family val="2"/>
    </font>
    <font>
      <sz val="12"/>
      <color indexed="10"/>
      <name val="Arial"/>
      <family val="2"/>
    </font>
    <font>
      <b/>
      <u/>
      <sz val="12"/>
      <color indexed="12"/>
      <name val="Arial"/>
      <family val="2"/>
    </font>
    <font>
      <sz val="10"/>
      <color indexed="62"/>
      <name val="Arial"/>
      <family val="2"/>
    </font>
    <font>
      <sz val="10"/>
      <color indexed="17"/>
      <name val="Arial"/>
      <family val="2"/>
    </font>
    <font>
      <u/>
      <sz val="10"/>
      <color indexed="57"/>
      <name val="Arial"/>
      <family val="2"/>
    </font>
    <font>
      <sz val="10"/>
      <color indexed="12"/>
      <name val="Arial"/>
      <family val="2"/>
    </font>
    <font>
      <sz val="12"/>
      <color indexed="12"/>
      <name val="Times New Roman"/>
      <family val="1"/>
    </font>
    <font>
      <b/>
      <u/>
      <sz val="14"/>
      <color indexed="12"/>
      <name val="Times New Roman"/>
      <family val="1"/>
    </font>
    <font>
      <b/>
      <u/>
      <sz val="14"/>
      <name val="Times New Roman"/>
      <family val="1"/>
    </font>
    <font>
      <u/>
      <sz val="14"/>
      <color indexed="12"/>
      <name val="Arial"/>
      <family val="2"/>
    </font>
    <font>
      <b/>
      <sz val="14"/>
      <color indexed="10"/>
      <name val="Times New Roman"/>
      <family val="1"/>
    </font>
    <font>
      <u/>
      <sz val="12"/>
      <name val="Arial"/>
      <family val="2"/>
    </font>
    <font>
      <u/>
      <sz val="14"/>
      <name val="Arial"/>
      <family val="2"/>
    </font>
    <font>
      <sz val="12"/>
      <color indexed="18"/>
      <name val="Arial"/>
      <family val="2"/>
    </font>
    <font>
      <u/>
      <sz val="12"/>
      <color indexed="12"/>
      <name val="Arial"/>
      <family val="2"/>
    </font>
    <font>
      <sz val="12"/>
      <color indexed="18"/>
      <name val="Times New Roman"/>
      <family val="1"/>
    </font>
    <font>
      <b/>
      <sz val="10"/>
      <color indexed="10"/>
      <name val="Arial"/>
      <family val="2"/>
    </font>
    <font>
      <b/>
      <sz val="18"/>
      <color indexed="8"/>
      <name val="Calibri"/>
      <family val="2"/>
    </font>
    <font>
      <sz val="11"/>
      <name val="Arial"/>
      <family val="2"/>
    </font>
    <font>
      <b/>
      <sz val="14"/>
      <name val="Arial"/>
      <family val="2"/>
    </font>
    <font>
      <sz val="14"/>
      <name val="Arial"/>
      <family val="2"/>
    </font>
    <font>
      <b/>
      <u/>
      <sz val="11"/>
      <color indexed="12"/>
      <name val="Arial"/>
      <family val="2"/>
    </font>
    <font>
      <b/>
      <u/>
      <sz val="11"/>
      <name val="Arial"/>
      <family val="2"/>
    </font>
    <font>
      <u/>
      <sz val="11"/>
      <name val="Arial"/>
      <family val="2"/>
    </font>
    <font>
      <sz val="10"/>
      <color indexed="57"/>
      <name val="Arial"/>
      <family val="2"/>
    </font>
    <font>
      <sz val="11"/>
      <color indexed="12"/>
      <name val="Arial"/>
      <family val="2"/>
    </font>
    <font>
      <u/>
      <sz val="11"/>
      <color indexed="12"/>
      <name val="Arial"/>
      <family val="2"/>
    </font>
    <font>
      <sz val="11"/>
      <color indexed="17"/>
      <name val="Arial"/>
      <family val="2"/>
    </font>
    <font>
      <b/>
      <sz val="11"/>
      <color indexed="12"/>
      <name val="Arial"/>
      <family val="2"/>
    </font>
    <font>
      <sz val="22"/>
      <color indexed="8"/>
      <name val="Calibri"/>
      <family val="2"/>
    </font>
    <font>
      <b/>
      <i/>
      <u/>
      <sz val="10"/>
      <color indexed="10"/>
      <name val="Arial"/>
      <family val="2"/>
    </font>
    <font>
      <sz val="16"/>
      <color indexed="8"/>
      <name val="Calibri"/>
      <family val="2"/>
    </font>
    <font>
      <sz val="18"/>
      <color indexed="8"/>
      <name val="Calibri"/>
      <family val="2"/>
    </font>
    <font>
      <sz val="16"/>
      <color indexed="8"/>
      <name val="Calibri"/>
      <family val="2"/>
    </font>
    <font>
      <sz val="11"/>
      <color theme="1"/>
      <name val="Calibri"/>
      <family val="2"/>
      <scheme val="minor"/>
    </font>
    <font>
      <sz val="10"/>
      <color rgb="FFC00000"/>
      <name val="Arial"/>
      <family val="2"/>
    </font>
    <font>
      <sz val="10"/>
      <color rgb="FF000000"/>
      <name val="Arial"/>
      <family val="2"/>
    </font>
    <font>
      <sz val="11"/>
      <color theme="1"/>
      <name val="Arial"/>
      <family val="2"/>
    </font>
    <font>
      <b/>
      <sz val="10"/>
      <color theme="1"/>
      <name val="Arial"/>
      <family val="2"/>
    </font>
    <font>
      <sz val="10"/>
      <color theme="1"/>
      <name val="Arial"/>
      <family val="2"/>
    </font>
    <font>
      <i/>
      <sz val="10"/>
      <color theme="1"/>
      <name val="Arial"/>
      <family val="2"/>
    </font>
    <font>
      <u/>
      <sz val="10"/>
      <color theme="1"/>
      <name val="Arial"/>
      <family val="2"/>
    </font>
    <font>
      <b/>
      <u/>
      <sz val="10"/>
      <color theme="1"/>
      <name val="Arial"/>
      <family val="2"/>
    </font>
    <font>
      <b/>
      <sz val="11"/>
      <color theme="1"/>
      <name val="Arial"/>
      <family val="2"/>
    </font>
    <font>
      <sz val="9"/>
      <color theme="1"/>
      <name val="Calibri"/>
      <family val="2"/>
      <scheme val="minor"/>
    </font>
    <font>
      <sz val="12"/>
      <color theme="0"/>
      <name val="Times New Roman"/>
      <family val="1"/>
    </font>
    <font>
      <sz val="10"/>
      <color theme="0"/>
      <name val="Arial"/>
      <family val="2"/>
    </font>
    <font>
      <b/>
      <sz val="10"/>
      <color rgb="FFC00000"/>
      <name val="Arial"/>
      <family val="2"/>
    </font>
    <font>
      <i/>
      <sz val="11"/>
      <color theme="1"/>
      <name val="Arial"/>
      <family val="2"/>
    </font>
    <font>
      <b/>
      <u/>
      <sz val="14"/>
      <color rgb="FF009900"/>
      <name val="Times New Roman"/>
      <family val="1"/>
    </font>
    <font>
      <u/>
      <sz val="10"/>
      <color rgb="FF009900"/>
      <name val="Arial"/>
      <family val="2"/>
    </font>
  </fonts>
  <fills count="20">
    <fill>
      <patternFill patternType="none"/>
    </fill>
    <fill>
      <patternFill patternType="gray125"/>
    </fill>
    <fill>
      <patternFill patternType="solid">
        <fgColor indexed="16"/>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lightTrellis"/>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39"/>
        <bgColor indexed="64"/>
      </patternFill>
    </fill>
    <fill>
      <patternFill patternType="solid">
        <fgColor indexed="5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61FF61"/>
        <bgColor indexed="64"/>
      </patternFill>
    </fill>
    <fill>
      <patternFill patternType="lightTrellis">
        <bgColor theme="8" tint="0.39997558519241921"/>
      </patternFill>
    </fill>
    <fill>
      <patternFill patternType="solid">
        <fgColor rgb="FFFFFF00"/>
        <bgColor indexed="64"/>
      </patternFill>
    </fill>
  </fills>
  <borders count="78">
    <border>
      <left/>
      <right/>
      <top/>
      <bottom/>
      <diagonal/>
    </border>
    <border>
      <left style="dashed">
        <color indexed="64"/>
      </left>
      <right style="dashed">
        <color indexed="64"/>
      </right>
      <top style="dashed">
        <color indexed="64"/>
      </top>
      <bottom style="dashed">
        <color indexed="64"/>
      </bottom>
      <diagonal/>
    </border>
    <border>
      <left style="double">
        <color indexed="64"/>
      </left>
      <right style="double">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8"/>
      </bottom>
      <diagonal/>
    </border>
    <border>
      <left/>
      <right/>
      <top style="thin">
        <color indexed="8"/>
      </top>
      <bottom/>
      <diagonal/>
    </border>
    <border>
      <left/>
      <right/>
      <top/>
      <bottom style="double">
        <color indexed="8"/>
      </bottom>
      <diagonal/>
    </border>
    <border>
      <left/>
      <right/>
      <top style="thin">
        <color indexed="64"/>
      </top>
      <bottom style="double">
        <color indexed="64"/>
      </bottom>
      <diagonal/>
    </border>
    <border>
      <left style="thick">
        <color indexed="64"/>
      </left>
      <right/>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double">
        <color rgb="FF00B050"/>
      </left>
      <right/>
      <top/>
      <bottom/>
      <diagonal/>
    </border>
    <border>
      <left/>
      <right style="double">
        <color rgb="FF00B050"/>
      </right>
      <top/>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style="double">
        <color rgb="FF0070C0"/>
      </left>
      <right/>
      <top/>
      <bottom style="thin">
        <color indexed="64"/>
      </bottom>
      <diagonal/>
    </border>
    <border>
      <left style="double">
        <color theme="3" tint="0.39994506668294322"/>
      </left>
      <right/>
      <top style="double">
        <color theme="3" tint="0.39994506668294322"/>
      </top>
      <bottom/>
      <diagonal/>
    </border>
    <border>
      <left/>
      <right/>
      <top style="double">
        <color theme="3" tint="0.39994506668294322"/>
      </top>
      <bottom/>
      <diagonal/>
    </border>
    <border>
      <left/>
      <right style="double">
        <color theme="3" tint="0.39994506668294322"/>
      </right>
      <top style="double">
        <color theme="3" tint="0.39994506668294322"/>
      </top>
      <bottom/>
      <diagonal/>
    </border>
    <border>
      <left style="double">
        <color theme="3" tint="0.39994506668294322"/>
      </left>
      <right/>
      <top/>
      <bottom/>
      <diagonal/>
    </border>
    <border>
      <left/>
      <right style="double">
        <color theme="3" tint="0.39994506668294322"/>
      </right>
      <top/>
      <bottom/>
      <diagonal/>
    </border>
    <border>
      <left style="double">
        <color theme="3" tint="0.39994506668294322"/>
      </left>
      <right/>
      <top/>
      <bottom style="double">
        <color theme="3" tint="0.39994506668294322"/>
      </bottom>
      <diagonal/>
    </border>
    <border>
      <left/>
      <right/>
      <top/>
      <bottom style="double">
        <color theme="3" tint="0.39994506668294322"/>
      </bottom>
      <diagonal/>
    </border>
    <border>
      <left/>
      <right style="double">
        <color theme="3" tint="0.39994506668294322"/>
      </right>
      <top/>
      <bottom style="double">
        <color theme="3" tint="0.39994506668294322"/>
      </bottom>
      <diagonal/>
    </border>
    <border>
      <left style="double">
        <color rgb="FF00B050"/>
      </left>
      <right/>
      <top style="double">
        <color rgb="FF00B050"/>
      </top>
      <bottom style="thin">
        <color indexed="64"/>
      </bottom>
      <diagonal/>
    </border>
    <border>
      <left/>
      <right/>
      <top style="double">
        <color rgb="FF00B050"/>
      </top>
      <bottom style="thin">
        <color indexed="64"/>
      </bottom>
      <diagonal/>
    </border>
    <border>
      <left style="double">
        <color rgb="FF00B050"/>
      </left>
      <right/>
      <top/>
      <bottom style="thin">
        <color indexed="64"/>
      </bottom>
      <diagonal/>
    </border>
    <border>
      <left/>
      <right style="thin">
        <color rgb="FFC00000"/>
      </right>
      <top/>
      <bottom/>
      <diagonal/>
    </border>
  </borders>
  <cellStyleXfs count="12">
    <xf numFmtId="0" fontId="0" fillId="0" borderId="0"/>
    <xf numFmtId="43" fontId="70" fillId="0" borderId="0" applyFont="0" applyFill="0" applyBorder="0" applyAlignment="0" applyProtection="0"/>
    <xf numFmtId="43" fontId="2" fillId="0" borderId="0" applyFont="0" applyFill="0" applyBorder="0" applyAlignment="0" applyProtection="0"/>
    <xf numFmtId="44" fontId="70"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 fillId="0" borderId="0"/>
    <xf numFmtId="0" fontId="5" fillId="0" borderId="0"/>
    <xf numFmtId="0" fontId="6" fillId="0" borderId="0"/>
    <xf numFmtId="9" fontId="2" fillId="0" borderId="0" applyFont="0" applyFill="0" applyBorder="0" applyAlignment="0" applyProtection="0"/>
  </cellStyleXfs>
  <cellXfs count="2176">
    <xf numFmtId="0" fontId="0" fillId="0" borderId="0" xfId="0"/>
    <xf numFmtId="0" fontId="2" fillId="0" borderId="0" xfId="7" applyFont="1"/>
    <xf numFmtId="0" fontId="1" fillId="0" borderId="0" xfId="7"/>
    <xf numFmtId="0" fontId="3" fillId="0" borderId="0" xfId="7" applyFont="1" applyAlignment="1">
      <alignment horizontal="left"/>
    </xf>
    <xf numFmtId="0" fontId="4" fillId="0" borderId="0" xfId="7" applyFont="1"/>
    <xf numFmtId="0" fontId="3" fillId="0" borderId="0" xfId="7" applyFont="1"/>
    <xf numFmtId="0" fontId="71" fillId="0" borderId="0" xfId="7" applyFont="1"/>
    <xf numFmtId="0" fontId="3" fillId="0" borderId="0" xfId="7" applyFont="1" applyAlignment="1">
      <alignment horizontal="center"/>
    </xf>
    <xf numFmtId="0" fontId="2" fillId="0" borderId="0" xfId="7" applyNumberFormat="1" applyFont="1"/>
    <xf numFmtId="0" fontId="2" fillId="0" borderId="0" xfId="2" applyNumberFormat="1" applyFont="1"/>
    <xf numFmtId="3" fontId="2" fillId="0" borderId="0" xfId="2" applyNumberFormat="1" applyFont="1"/>
    <xf numFmtId="3" fontId="2" fillId="0" borderId="0" xfId="7" applyNumberFormat="1" applyFont="1"/>
    <xf numFmtId="0" fontId="7" fillId="2" borderId="0" xfId="7" applyFont="1" applyFill="1"/>
    <xf numFmtId="0" fontId="6" fillId="0" borderId="0" xfId="7" applyFont="1"/>
    <xf numFmtId="0" fontId="3" fillId="0" borderId="0" xfId="7" applyFont="1" applyAlignment="1">
      <alignment horizontal="right"/>
    </xf>
    <xf numFmtId="0" fontId="8" fillId="0" borderId="1" xfId="7" applyFont="1" applyBorder="1" applyProtection="1">
      <protection locked="0"/>
    </xf>
    <xf numFmtId="0" fontId="9" fillId="0" borderId="0" xfId="6" applyAlignment="1" applyProtection="1"/>
    <xf numFmtId="0" fontId="8" fillId="0" borderId="0" xfId="7" applyFont="1" applyBorder="1" applyAlignment="1" applyProtection="1">
      <alignment horizontal="left"/>
    </xf>
    <xf numFmtId="0" fontId="10" fillId="3" borderId="2" xfId="7" applyFont="1" applyFill="1" applyBorder="1" applyAlignment="1" applyProtection="1">
      <alignment horizontal="left" vertical="center"/>
      <protection hidden="1"/>
    </xf>
    <xf numFmtId="0" fontId="9" fillId="4" borderId="3" xfId="6" applyFill="1" applyBorder="1" applyAlignment="1" applyProtection="1">
      <protection hidden="1"/>
    </xf>
    <xf numFmtId="0" fontId="9" fillId="4" borderId="4" xfId="6" applyFill="1" applyBorder="1" applyAlignment="1" applyProtection="1">
      <protection hidden="1"/>
    </xf>
    <xf numFmtId="0" fontId="11" fillId="0" borderId="0" xfId="6" applyFont="1" applyAlignment="1" applyProtection="1"/>
    <xf numFmtId="0" fontId="9" fillId="4" borderId="4" xfId="6" applyFill="1" applyBorder="1" applyAlignment="1" applyProtection="1">
      <alignment wrapText="1"/>
      <protection hidden="1"/>
    </xf>
    <xf numFmtId="0" fontId="6" fillId="13" borderId="0" xfId="7" applyFont="1" applyFill="1"/>
    <xf numFmtId="0" fontId="3" fillId="0" borderId="0" xfId="7" applyFont="1" applyAlignment="1"/>
    <xf numFmtId="0" fontId="6" fillId="0" borderId="0" xfId="7" applyFont="1" applyAlignment="1"/>
    <xf numFmtId="0" fontId="12" fillId="0" borderId="0" xfId="7" applyFont="1" applyAlignment="1"/>
    <xf numFmtId="0" fontId="13" fillId="0" borderId="0" xfId="7" applyFont="1" applyAlignment="1"/>
    <xf numFmtId="0" fontId="2" fillId="0" borderId="0" xfId="7" applyFont="1" applyProtection="1">
      <protection locked="0"/>
    </xf>
    <xf numFmtId="0" fontId="1" fillId="0" borderId="0" xfId="7" applyProtection="1">
      <protection locked="0"/>
    </xf>
    <xf numFmtId="0" fontId="2" fillId="4" borderId="0" xfId="7" applyFont="1" applyFill="1" applyBorder="1" applyProtection="1">
      <protection locked="0" hidden="1"/>
    </xf>
    <xf numFmtId="0" fontId="2" fillId="4" borderId="5" xfId="7" applyFont="1" applyFill="1" applyBorder="1" applyProtection="1">
      <protection locked="0" hidden="1"/>
    </xf>
    <xf numFmtId="0" fontId="9" fillId="4" borderId="5" xfId="6" applyFont="1" applyFill="1" applyBorder="1" applyAlignment="1" applyProtection="1">
      <alignment wrapText="1"/>
      <protection locked="0" hidden="1"/>
    </xf>
    <xf numFmtId="0" fontId="2" fillId="4" borderId="0" xfId="7" applyFont="1" applyFill="1" applyProtection="1">
      <protection locked="0" hidden="1"/>
    </xf>
    <xf numFmtId="0" fontId="2" fillId="4" borderId="0" xfId="7" applyFont="1" applyFill="1" applyAlignment="1" applyProtection="1">
      <alignment wrapText="1"/>
      <protection locked="0" hidden="1"/>
    </xf>
    <xf numFmtId="0" fontId="9" fillId="4" borderId="0" xfId="6" applyFont="1" applyFill="1" applyAlignment="1" applyProtection="1">
      <protection locked="0" hidden="1"/>
    </xf>
    <xf numFmtId="0" fontId="2" fillId="0" borderId="0" xfId="7" applyFont="1" applyFill="1" applyAlignment="1" applyProtection="1">
      <alignment vertical="top"/>
      <protection locked="0"/>
    </xf>
    <xf numFmtId="0" fontId="2" fillId="0" borderId="0" xfId="7" applyFont="1" applyAlignment="1" applyProtection="1">
      <alignment vertical="top" wrapText="1"/>
      <protection locked="0"/>
    </xf>
    <xf numFmtId="0" fontId="2" fillId="0" borderId="0" xfId="7" applyFont="1" applyFill="1" applyProtection="1">
      <protection locked="0"/>
    </xf>
    <xf numFmtId="0" fontId="2" fillId="0" borderId="0" xfId="7" applyFont="1" applyAlignment="1" applyProtection="1">
      <alignment horizontal="left" vertical="top"/>
      <protection locked="0"/>
    </xf>
    <xf numFmtId="0" fontId="2" fillId="0" borderId="0" xfId="7" applyFont="1" applyAlignment="1" applyProtection="1">
      <alignment horizontal="left" vertical="top" wrapText="1"/>
      <protection locked="0"/>
    </xf>
    <xf numFmtId="0" fontId="72" fillId="0" borderId="0" xfId="7" applyFont="1"/>
    <xf numFmtId="0" fontId="2" fillId="4" borderId="0" xfId="7" applyFont="1" applyFill="1" applyAlignment="1" applyProtection="1">
      <protection locked="0" hidden="1"/>
    </xf>
    <xf numFmtId="0" fontId="2" fillId="0" borderId="0" xfId="7" applyFont="1" applyAlignment="1" applyProtection="1">
      <alignment horizontal="left"/>
      <protection locked="0"/>
    </xf>
    <xf numFmtId="0" fontId="2" fillId="0" borderId="0" xfId="7" applyFont="1" applyAlignment="1" applyProtection="1">
      <protection locked="0"/>
    </xf>
    <xf numFmtId="0" fontId="2" fillId="0" borderId="0" xfId="7" applyNumberFormat="1" applyFont="1" applyFill="1" applyAlignment="1" applyProtection="1">
      <alignment wrapText="1"/>
      <protection locked="0" hidden="1"/>
    </xf>
    <xf numFmtId="0" fontId="2" fillId="0" borderId="0" xfId="7" applyFont="1" applyAlignment="1" applyProtection="1">
      <alignment wrapText="1"/>
      <protection locked="0"/>
    </xf>
    <xf numFmtId="0" fontId="2" fillId="0" borderId="0" xfId="7" applyFont="1" applyAlignment="1" applyProtection="1">
      <alignment horizontal="left" vertical="top" wrapText="1" indent="1"/>
      <protection locked="0"/>
    </xf>
    <xf numFmtId="0" fontId="2" fillId="0" borderId="0" xfId="7" applyFont="1" applyAlignment="1" applyProtection="1">
      <alignment horizontal="left" wrapText="1"/>
      <protection locked="0"/>
    </xf>
    <xf numFmtId="0" fontId="2" fillId="0" borderId="0" xfId="7" applyFont="1" applyFill="1" applyAlignment="1" applyProtection="1">
      <alignment horizontal="left" vertical="top"/>
      <protection locked="0"/>
    </xf>
    <xf numFmtId="0" fontId="2" fillId="0" borderId="0" xfId="7" applyFont="1" applyFill="1" applyAlignment="1" applyProtection="1">
      <alignment horizontal="left" vertical="top" wrapText="1"/>
      <protection locked="0"/>
    </xf>
    <xf numFmtId="0" fontId="11" fillId="0" borderId="0" xfId="7" applyFont="1" applyProtection="1">
      <protection locked="0"/>
    </xf>
    <xf numFmtId="0" fontId="20" fillId="0" borderId="0" xfId="7" applyFont="1" applyFill="1" applyBorder="1" applyAlignment="1" applyProtection="1">
      <alignment horizontal="center" vertical="center" wrapText="1"/>
      <protection locked="0"/>
    </xf>
    <xf numFmtId="0" fontId="9" fillId="0" borderId="0" xfId="6" applyFill="1" applyBorder="1" applyAlignment="1" applyProtection="1">
      <protection locked="0"/>
    </xf>
    <xf numFmtId="0" fontId="2" fillId="0" borderId="0" xfId="7" applyFont="1" applyFill="1" applyBorder="1" applyAlignment="1" applyProtection="1">
      <alignment horizontal="left" vertical="top" wrapText="1" indent="2"/>
      <protection locked="0"/>
    </xf>
    <xf numFmtId="49" fontId="21" fillId="0" borderId="0" xfId="7" applyNumberFormat="1" applyFont="1" applyBorder="1" applyAlignment="1" applyProtection="1">
      <alignment horizontal="left" vertical="top"/>
      <protection locked="0"/>
    </xf>
    <xf numFmtId="0" fontId="22" fillId="0" borderId="0" xfId="7" applyFont="1" applyBorder="1" applyAlignment="1" applyProtection="1">
      <protection locked="0"/>
    </xf>
    <xf numFmtId="0" fontId="2" fillId="0" borderId="0" xfId="7" applyFont="1" applyFill="1" applyBorder="1" applyAlignment="1" applyProtection="1">
      <alignment vertical="top"/>
      <protection locked="0"/>
    </xf>
    <xf numFmtId="0" fontId="22" fillId="0" borderId="0" xfId="7" applyNumberFormat="1" applyFont="1" applyBorder="1" applyAlignment="1" applyProtection="1">
      <alignment wrapText="1"/>
      <protection locked="0"/>
    </xf>
    <xf numFmtId="49" fontId="22" fillId="0" borderId="0" xfId="7" applyNumberFormat="1" applyFont="1" applyBorder="1" applyAlignment="1" applyProtection="1">
      <alignment horizontal="center" vertical="top"/>
      <protection locked="0"/>
    </xf>
    <xf numFmtId="0" fontId="23" fillId="0" borderId="0" xfId="7" applyNumberFormat="1" applyFont="1" applyBorder="1" applyAlignment="1" applyProtection="1">
      <alignment wrapText="1"/>
      <protection locked="0"/>
    </xf>
    <xf numFmtId="0" fontId="23" fillId="0" borderId="0" xfId="7" applyFont="1" applyBorder="1" applyAlignment="1" applyProtection="1">
      <alignment wrapText="1"/>
      <protection locked="0"/>
    </xf>
    <xf numFmtId="0" fontId="22" fillId="0" borderId="0" xfId="7" applyFont="1" applyBorder="1" applyAlignment="1" applyProtection="1">
      <alignment wrapText="1"/>
      <protection locked="0"/>
    </xf>
    <xf numFmtId="0" fontId="22" fillId="0" borderId="0" xfId="7" applyFont="1" applyBorder="1" applyProtection="1">
      <protection locked="0"/>
    </xf>
    <xf numFmtId="0" fontId="2" fillId="0" borderId="0" xfId="7" applyFont="1" applyBorder="1" applyAlignment="1" applyProtection="1">
      <alignment vertical="top" wrapText="1"/>
      <protection locked="0"/>
    </xf>
    <xf numFmtId="0" fontId="21" fillId="5" borderId="0" xfId="7" applyFont="1" applyFill="1" applyBorder="1" applyAlignment="1" applyProtection="1">
      <alignment horizontal="left" vertical="top"/>
      <protection locked="0"/>
    </xf>
    <xf numFmtId="0" fontId="2" fillId="5" borderId="0" xfId="7" applyFont="1" applyFill="1" applyBorder="1" applyProtection="1">
      <protection locked="0"/>
    </xf>
    <xf numFmtId="0" fontId="24" fillId="0" borderId="0" xfId="7" applyFont="1" applyFill="1" applyAlignment="1" applyProtection="1">
      <alignment vertical="top"/>
      <protection locked="0"/>
    </xf>
    <xf numFmtId="0" fontId="22" fillId="0" borderId="0" xfId="6" applyFont="1" applyBorder="1" applyAlignment="1" applyProtection="1">
      <alignment wrapText="1"/>
      <protection locked="0"/>
    </xf>
    <xf numFmtId="0" fontId="2" fillId="0" borderId="0" xfId="7" applyFont="1" applyFill="1" applyBorder="1" applyProtection="1">
      <protection locked="0"/>
    </xf>
    <xf numFmtId="0" fontId="2" fillId="6" borderId="0" xfId="7" applyFont="1" applyFill="1" applyProtection="1">
      <protection locked="0"/>
    </xf>
    <xf numFmtId="0" fontId="1" fillId="0" borderId="0" xfId="7" applyFill="1" applyProtection="1">
      <protection locked="0"/>
    </xf>
    <xf numFmtId="0" fontId="9" fillId="0" borderId="0" xfId="6" applyFont="1" applyAlignment="1" applyProtection="1">
      <alignment vertical="top"/>
      <protection locked="0"/>
    </xf>
    <xf numFmtId="0" fontId="26" fillId="0" borderId="0" xfId="7" applyFont="1" applyFill="1" applyProtection="1">
      <protection locked="0"/>
    </xf>
    <xf numFmtId="0" fontId="6" fillId="0" borderId="0" xfId="7" applyFont="1" applyProtection="1">
      <protection locked="0"/>
    </xf>
    <xf numFmtId="0" fontId="4" fillId="0" borderId="0" xfId="7" applyFont="1" applyAlignment="1" applyProtection="1">
      <alignment horizontal="right"/>
      <protection locked="0"/>
    </xf>
    <xf numFmtId="0" fontId="2" fillId="0" borderId="6" xfId="7" applyFont="1" applyBorder="1" applyProtection="1">
      <protection locked="0"/>
    </xf>
    <xf numFmtId="0" fontId="2" fillId="0" borderId="7" xfId="7" applyFont="1" applyBorder="1" applyProtection="1">
      <protection locked="0"/>
    </xf>
    <xf numFmtId="0" fontId="2" fillId="0" borderId="8" xfId="7" applyFont="1" applyBorder="1" applyProtection="1">
      <protection locked="0"/>
    </xf>
    <xf numFmtId="0" fontId="2" fillId="0" borderId="9" xfId="7" applyFont="1" applyBorder="1" applyAlignment="1" applyProtection="1">
      <alignment horizontal="left" vertical="top"/>
      <protection locked="0"/>
    </xf>
    <xf numFmtId="0" fontId="2" fillId="0" borderId="10" xfId="7" applyFont="1" applyBorder="1" applyAlignment="1" applyProtection="1">
      <alignment horizontal="left" vertical="top"/>
      <protection locked="0"/>
    </xf>
    <xf numFmtId="0" fontId="2" fillId="0" borderId="11" xfId="7" applyFont="1" applyBorder="1" applyAlignment="1" applyProtection="1">
      <alignment horizontal="left" vertical="top"/>
      <protection locked="0"/>
    </xf>
    <xf numFmtId="0" fontId="2" fillId="4" borderId="6" xfId="7" applyFont="1" applyFill="1" applyBorder="1" applyProtection="1">
      <protection locked="0"/>
    </xf>
    <xf numFmtId="0" fontId="2" fillId="4" borderId="7" xfId="7" applyFont="1" applyFill="1" applyBorder="1" applyProtection="1">
      <protection locked="0"/>
    </xf>
    <xf numFmtId="0" fontId="3" fillId="4" borderId="12" xfId="7" applyFont="1" applyFill="1" applyBorder="1" applyAlignment="1" applyProtection="1">
      <alignment horizontal="center"/>
      <protection locked="0"/>
    </xf>
    <xf numFmtId="0" fontId="2" fillId="0" borderId="13" xfId="7" applyFont="1" applyBorder="1" applyAlignment="1" applyProtection="1">
      <alignment shrinkToFit="1"/>
      <protection locked="0"/>
    </xf>
    <xf numFmtId="0" fontId="2" fillId="7" borderId="13" xfId="7" applyFont="1" applyFill="1" applyBorder="1" applyProtection="1">
      <protection locked="0"/>
    </xf>
    <xf numFmtId="0" fontId="2" fillId="0" borderId="14" xfId="7" applyFont="1" applyBorder="1" applyAlignment="1" applyProtection="1">
      <protection locked="0"/>
    </xf>
    <xf numFmtId="0" fontId="2" fillId="0" borderId="15" xfId="7" applyFont="1" applyBorder="1" applyAlignment="1" applyProtection="1">
      <protection locked="0"/>
    </xf>
    <xf numFmtId="0" fontId="2" fillId="0" borderId="0" xfId="7" applyFont="1" applyBorder="1" applyProtection="1">
      <protection locked="0"/>
    </xf>
    <xf numFmtId="0" fontId="14" fillId="0" borderId="0" xfId="10" applyFont="1" applyProtection="1">
      <protection locked="0"/>
    </xf>
    <xf numFmtId="0" fontId="2" fillId="0" borderId="0" xfId="10" applyFont="1" applyProtection="1">
      <protection locked="0"/>
    </xf>
    <xf numFmtId="37" fontId="14" fillId="0" borderId="0" xfId="10" applyNumberFormat="1" applyFont="1" applyAlignment="1" applyProtection="1">
      <alignment horizontal="right"/>
      <protection locked="0"/>
    </xf>
    <xf numFmtId="0" fontId="2" fillId="8" borderId="0" xfId="10" applyFont="1" applyFill="1" applyProtection="1">
      <protection locked="0"/>
    </xf>
    <xf numFmtId="37" fontId="14" fillId="0" borderId="0" xfId="10" applyNumberFormat="1" applyFont="1" applyBorder="1" applyProtection="1">
      <protection locked="0"/>
    </xf>
    <xf numFmtId="0" fontId="14" fillId="0" borderId="0" xfId="10" applyFont="1" applyBorder="1" applyProtection="1">
      <protection locked="0"/>
    </xf>
    <xf numFmtId="0" fontId="2" fillId="0" borderId="0" xfId="10" applyFont="1" applyBorder="1" applyProtection="1">
      <protection locked="0" hidden="1"/>
    </xf>
    <xf numFmtId="5" fontId="2" fillId="0" borderId="0" xfId="10" applyNumberFormat="1" applyFont="1" applyBorder="1" applyProtection="1">
      <protection locked="0" hidden="1"/>
    </xf>
    <xf numFmtId="0" fontId="14" fillId="0" borderId="0" xfId="10" applyFont="1" applyAlignment="1" applyProtection="1">
      <alignment horizontal="right"/>
      <protection locked="0"/>
    </xf>
    <xf numFmtId="0" fontId="14" fillId="0" borderId="0" xfId="10" applyFont="1" applyBorder="1" applyAlignment="1" applyProtection="1">
      <alignment horizontal="center"/>
      <protection locked="0"/>
    </xf>
    <xf numFmtId="5" fontId="9" fillId="0" borderId="0" xfId="10" applyNumberFormat="1" applyFont="1" applyBorder="1" applyAlignment="1" applyProtection="1">
      <alignment horizontal="right"/>
      <protection locked="0" hidden="1"/>
    </xf>
    <xf numFmtId="0" fontId="26" fillId="0" borderId="0" xfId="10" applyFont="1" applyBorder="1" applyProtection="1">
      <protection locked="0"/>
    </xf>
    <xf numFmtId="5" fontId="14" fillId="0" borderId="0" xfId="10" applyNumberFormat="1" applyFont="1" applyBorder="1" applyProtection="1">
      <protection locked="0" hidden="1"/>
    </xf>
    <xf numFmtId="37" fontId="14" fillId="0" borderId="0" xfId="10" applyNumberFormat="1" applyFont="1" applyBorder="1" applyProtection="1">
      <protection locked="0" hidden="1"/>
    </xf>
    <xf numFmtId="37" fontId="14" fillId="0" borderId="0" xfId="10" applyNumberFormat="1" applyFont="1" applyProtection="1">
      <protection locked="0"/>
    </xf>
    <xf numFmtId="5" fontId="14" fillId="0" borderId="0" xfId="10" applyNumberFormat="1" applyFont="1" applyBorder="1" applyProtection="1">
      <protection locked="0"/>
    </xf>
    <xf numFmtId="0" fontId="2" fillId="0" borderId="0" xfId="10" applyFont="1" applyBorder="1" applyProtection="1">
      <protection locked="0"/>
    </xf>
    <xf numFmtId="0" fontId="73" fillId="0" borderId="0" xfId="7" applyFont="1" applyProtection="1">
      <protection locked="0"/>
    </xf>
    <xf numFmtId="0" fontId="74" fillId="0" borderId="0" xfId="7" applyFont="1" applyBorder="1" applyAlignment="1" applyProtection="1">
      <alignment horizontal="center"/>
      <protection locked="0"/>
    </xf>
    <xf numFmtId="37" fontId="14" fillId="0" borderId="0" xfId="10" applyNumberFormat="1" applyFont="1" applyAlignment="1" applyProtection="1">
      <alignment horizontal="center"/>
      <protection locked="0"/>
    </xf>
    <xf numFmtId="37" fontId="9" fillId="0" borderId="0" xfId="10" applyNumberFormat="1" applyFont="1" applyAlignment="1" applyProtection="1">
      <alignment horizontal="center"/>
      <protection locked="0"/>
    </xf>
    <xf numFmtId="37" fontId="9" fillId="0" borderId="0" xfId="10" applyNumberFormat="1" applyFont="1" applyBorder="1" applyAlignment="1" applyProtection="1">
      <alignment horizontal="center"/>
      <protection locked="0"/>
    </xf>
    <xf numFmtId="0" fontId="14" fillId="0" borderId="0" xfId="10" applyNumberFormat="1" applyFont="1" applyAlignment="1" applyProtection="1">
      <alignment horizontal="center"/>
      <protection locked="0"/>
    </xf>
    <xf numFmtId="37" fontId="14" fillId="0" borderId="0" xfId="2" applyNumberFormat="1" applyFont="1" applyAlignment="1" applyProtection="1">
      <protection locked="0"/>
    </xf>
    <xf numFmtId="2" fontId="14" fillId="0" borderId="0" xfId="10" applyNumberFormat="1" applyFont="1" applyAlignment="1" applyProtection="1">
      <protection locked="0"/>
    </xf>
    <xf numFmtId="0" fontId="14" fillId="0" borderId="0" xfId="10" applyNumberFormat="1" applyFont="1" applyAlignment="1" applyProtection="1">
      <protection locked="0"/>
    </xf>
    <xf numFmtId="0" fontId="32" fillId="0" borderId="0" xfId="7" applyFont="1" applyProtection="1">
      <protection locked="0"/>
    </xf>
    <xf numFmtId="2" fontId="32" fillId="0" borderId="0" xfId="7" applyNumberFormat="1" applyFont="1" applyProtection="1">
      <protection locked="0"/>
    </xf>
    <xf numFmtId="1" fontId="32" fillId="0" borderId="0" xfId="7" applyNumberFormat="1" applyFont="1" applyProtection="1">
      <protection locked="0"/>
    </xf>
    <xf numFmtId="0" fontId="10" fillId="0" borderId="0" xfId="10" applyNumberFormat="1" applyFont="1" applyAlignment="1" applyProtection="1">
      <alignment horizontal="center"/>
      <protection locked="0"/>
    </xf>
    <xf numFmtId="0" fontId="75" fillId="0" borderId="0" xfId="7" applyFont="1" applyProtection="1">
      <protection locked="0"/>
    </xf>
    <xf numFmtId="1" fontId="75" fillId="0" borderId="0" xfId="7" applyNumberFormat="1" applyFont="1" applyProtection="1">
      <protection locked="0"/>
    </xf>
    <xf numFmtId="0" fontId="14" fillId="0" borderId="0" xfId="7" applyFont="1" applyProtection="1">
      <protection locked="0"/>
    </xf>
    <xf numFmtId="0" fontId="16" fillId="0" borderId="0" xfId="7" applyFont="1" applyProtection="1">
      <protection locked="0"/>
    </xf>
    <xf numFmtId="0" fontId="16" fillId="0" borderId="0" xfId="7" applyFont="1" applyAlignment="1" applyProtection="1">
      <alignment horizontal="left"/>
      <protection locked="0"/>
    </xf>
    <xf numFmtId="0" fontId="16" fillId="0" borderId="0" xfId="7" applyFont="1" applyBorder="1" applyProtection="1">
      <protection locked="0"/>
    </xf>
    <xf numFmtId="0" fontId="14" fillId="0" borderId="0" xfId="7" applyFont="1" applyFill="1" applyProtection="1">
      <protection locked="0"/>
    </xf>
    <xf numFmtId="0" fontId="9" fillId="0" borderId="0" xfId="7" applyFont="1" applyBorder="1" applyAlignment="1" applyProtection="1">
      <alignment horizontal="center"/>
      <protection locked="0"/>
    </xf>
    <xf numFmtId="0" fontId="3" fillId="0" borderId="0" xfId="10" applyFont="1" applyProtection="1">
      <protection locked="0"/>
    </xf>
    <xf numFmtId="0" fontId="2" fillId="0" borderId="0" xfId="10" applyFont="1" applyAlignment="1" applyProtection="1">
      <alignment horizontal="centerContinuous"/>
      <protection locked="0"/>
    </xf>
    <xf numFmtId="37" fontId="2" fillId="0" borderId="0" xfId="2" applyNumberFormat="1" applyFont="1" applyProtection="1">
      <protection locked="0"/>
    </xf>
    <xf numFmtId="0" fontId="39" fillId="0" borderId="0" xfId="10" applyFont="1" applyProtection="1">
      <protection locked="0" hidden="1"/>
    </xf>
    <xf numFmtId="5" fontId="14" fillId="0" borderId="0" xfId="10" applyNumberFormat="1" applyFont="1" applyBorder="1" applyProtection="1"/>
    <xf numFmtId="5" fontId="14" fillId="0" borderId="0" xfId="5" applyFont="1" applyAlignment="1" applyProtection="1">
      <alignment horizontal="right"/>
      <protection locked="0"/>
    </xf>
    <xf numFmtId="0" fontId="2" fillId="0" borderId="0" xfId="10" applyFont="1" applyFill="1" applyProtection="1">
      <protection locked="0"/>
    </xf>
    <xf numFmtId="0" fontId="14" fillId="0" borderId="0" xfId="10" applyFont="1" applyFill="1" applyBorder="1" applyProtection="1">
      <protection locked="0"/>
    </xf>
    <xf numFmtId="38" fontId="2" fillId="0" borderId="0" xfId="10" applyNumberFormat="1" applyFont="1" applyProtection="1">
      <protection locked="0"/>
    </xf>
    <xf numFmtId="38" fontId="2" fillId="0" borderId="0" xfId="7" applyNumberFormat="1" applyFont="1" applyProtection="1">
      <protection locked="0"/>
    </xf>
    <xf numFmtId="10" fontId="2" fillId="0" borderId="0" xfId="7" applyNumberFormat="1" applyFont="1" applyProtection="1">
      <protection locked="0"/>
    </xf>
    <xf numFmtId="172" fontId="2" fillId="0" borderId="0" xfId="7" applyNumberFormat="1" applyFont="1" applyProtection="1">
      <protection locked="0"/>
    </xf>
    <xf numFmtId="0" fontId="42" fillId="0" borderId="0" xfId="10" applyFont="1" applyAlignment="1" applyProtection="1">
      <alignment horizontal="right"/>
      <protection locked="0"/>
    </xf>
    <xf numFmtId="0" fontId="1" fillId="0" borderId="0" xfId="7" applyAlignment="1" applyProtection="1">
      <protection locked="0"/>
    </xf>
    <xf numFmtId="0" fontId="43" fillId="0" borderId="0" xfId="7" applyFont="1" applyBorder="1" applyAlignment="1" applyProtection="1">
      <alignment horizontal="center" vertical="top" wrapText="1"/>
      <protection locked="0"/>
    </xf>
    <xf numFmtId="49" fontId="16" fillId="0" borderId="16" xfId="7" applyNumberFormat="1" applyFont="1" applyBorder="1" applyAlignment="1" applyProtection="1">
      <alignment horizontal="center" vertical="center"/>
      <protection locked="0"/>
    </xf>
    <xf numFmtId="0" fontId="16" fillId="0" borderId="17" xfId="7" applyFont="1" applyBorder="1" applyAlignment="1" applyProtection="1">
      <alignment vertical="center"/>
      <protection locked="0"/>
    </xf>
    <xf numFmtId="0" fontId="1" fillId="0" borderId="0" xfId="7" applyAlignment="1" applyProtection="1">
      <alignment vertical="center"/>
      <protection locked="0"/>
    </xf>
    <xf numFmtId="0" fontId="16" fillId="0" borderId="17" xfId="7" applyFont="1" applyBorder="1" applyAlignment="1" applyProtection="1">
      <alignment vertical="center" wrapText="1"/>
      <protection locked="0"/>
    </xf>
    <xf numFmtId="49" fontId="16" fillId="0" borderId="9" xfId="7" applyNumberFormat="1" applyFont="1" applyBorder="1" applyAlignment="1" applyProtection="1">
      <alignment horizontal="center" vertical="top"/>
      <protection locked="0"/>
    </xf>
    <xf numFmtId="0" fontId="16" fillId="0" borderId="11" xfId="7" applyFont="1" applyFill="1" applyBorder="1" applyAlignment="1" applyProtection="1">
      <alignment vertical="top" wrapText="1"/>
      <protection locked="0"/>
    </xf>
    <xf numFmtId="0" fontId="46" fillId="0" borderId="0" xfId="7" applyFont="1" applyAlignment="1" applyProtection="1">
      <alignment vertical="top" wrapText="1"/>
      <protection locked="0"/>
    </xf>
    <xf numFmtId="0" fontId="38" fillId="0" borderId="0" xfId="7" applyFont="1" applyFill="1" applyBorder="1" applyAlignment="1" applyProtection="1">
      <alignment vertical="top" wrapText="1"/>
      <protection locked="0"/>
    </xf>
    <xf numFmtId="0" fontId="1" fillId="0" borderId="16" xfId="7" applyBorder="1" applyProtection="1">
      <protection locked="0"/>
    </xf>
    <xf numFmtId="0" fontId="1" fillId="0" borderId="17" xfId="7" applyBorder="1" applyProtection="1">
      <protection locked="0"/>
    </xf>
    <xf numFmtId="49" fontId="47" fillId="0" borderId="16" xfId="7" applyNumberFormat="1" applyFont="1" applyBorder="1" applyAlignment="1" applyProtection="1">
      <alignment horizontal="left" vertical="top"/>
      <protection locked="0"/>
    </xf>
    <xf numFmtId="0" fontId="16" fillId="0" borderId="17" xfId="7" applyFont="1" applyBorder="1" applyAlignment="1" applyProtection="1">
      <protection locked="0"/>
    </xf>
    <xf numFmtId="49" fontId="16" fillId="0" borderId="16" xfId="7" applyNumberFormat="1" applyFont="1" applyBorder="1" applyAlignment="1" applyProtection="1">
      <alignment horizontal="center" vertical="top"/>
      <protection locked="0"/>
    </xf>
    <xf numFmtId="0" fontId="16" fillId="0" borderId="17" xfId="7" applyFont="1" applyBorder="1" applyAlignment="1" applyProtection="1">
      <alignment horizontal="justify" vertical="top"/>
      <protection locked="0"/>
    </xf>
    <xf numFmtId="0" fontId="16" fillId="0" borderId="17" xfId="7" applyNumberFormat="1" applyFont="1" applyBorder="1" applyAlignment="1" applyProtection="1">
      <alignment horizontal="justify" vertical="top" wrapText="1"/>
      <protection locked="0"/>
    </xf>
    <xf numFmtId="0" fontId="47" fillId="0" borderId="17" xfId="7" applyNumberFormat="1" applyFont="1" applyBorder="1" applyAlignment="1" applyProtection="1">
      <alignment horizontal="justify" vertical="top" wrapText="1"/>
      <protection locked="0"/>
    </xf>
    <xf numFmtId="0" fontId="47" fillId="0" borderId="17" xfId="7" applyFont="1" applyBorder="1" applyAlignment="1" applyProtection="1">
      <alignment horizontal="justify" vertical="top" wrapText="1"/>
      <protection locked="0"/>
    </xf>
    <xf numFmtId="0" fontId="16" fillId="0" borderId="17" xfId="7" applyFont="1" applyBorder="1" applyAlignment="1" applyProtection="1">
      <alignment horizontal="justify" vertical="top" wrapText="1"/>
      <protection locked="0"/>
    </xf>
    <xf numFmtId="0" fontId="16" fillId="0" borderId="17" xfId="7" applyFont="1" applyBorder="1" applyProtection="1">
      <protection locked="0"/>
    </xf>
    <xf numFmtId="0" fontId="48" fillId="0" borderId="16" xfId="7" applyFont="1" applyFill="1" applyBorder="1" applyAlignment="1" applyProtection="1">
      <alignment horizontal="left" vertical="top"/>
      <protection locked="0"/>
    </xf>
    <xf numFmtId="49" fontId="49" fillId="0" borderId="16" xfId="7" applyNumberFormat="1" applyFont="1" applyBorder="1" applyAlignment="1" applyProtection="1">
      <alignment horizontal="center" vertical="top"/>
      <protection locked="0"/>
    </xf>
    <xf numFmtId="0" fontId="50" fillId="0" borderId="17" xfId="6" applyFont="1" applyBorder="1" applyAlignment="1" applyProtection="1">
      <alignment horizontal="justify" vertical="top"/>
      <protection locked="0"/>
    </xf>
    <xf numFmtId="0" fontId="35" fillId="0" borderId="17" xfId="6" applyFont="1" applyBorder="1" applyAlignment="1" applyProtection="1">
      <alignment horizontal="justify" vertical="top" wrapText="1"/>
      <protection locked="0"/>
    </xf>
    <xf numFmtId="0" fontId="1" fillId="0" borderId="9" xfId="7" applyBorder="1" applyProtection="1">
      <protection locked="0"/>
    </xf>
    <xf numFmtId="0" fontId="49" fillId="0" borderId="11" xfId="7" applyFont="1" applyBorder="1" applyAlignment="1" applyProtection="1">
      <alignment horizontal="justify" vertical="top"/>
      <protection locked="0"/>
    </xf>
    <xf numFmtId="49" fontId="49" fillId="0" borderId="0" xfId="7" applyNumberFormat="1" applyFont="1" applyFill="1" applyBorder="1" applyAlignment="1" applyProtection="1">
      <alignment horizontal="center" vertical="top"/>
      <protection locked="0"/>
    </xf>
    <xf numFmtId="0" fontId="49" fillId="0" borderId="0" xfId="7" applyFont="1" applyProtection="1">
      <protection locked="0"/>
    </xf>
    <xf numFmtId="0" fontId="51" fillId="0" borderId="0" xfId="7" applyFont="1" applyProtection="1">
      <protection locked="0"/>
    </xf>
    <xf numFmtId="22" fontId="1" fillId="0" borderId="0" xfId="7" applyNumberFormat="1"/>
    <xf numFmtId="10" fontId="14" fillId="0" borderId="0" xfId="10" applyNumberFormat="1" applyFont="1" applyBorder="1" applyProtection="1"/>
    <xf numFmtId="14" fontId="2" fillId="14" borderId="13" xfId="7" applyNumberFormat="1" applyFont="1" applyFill="1" applyBorder="1" applyProtection="1">
      <protection locked="0"/>
    </xf>
    <xf numFmtId="3" fontId="2" fillId="14" borderId="13" xfId="7" applyNumberFormat="1" applyFont="1" applyFill="1" applyBorder="1" applyProtection="1">
      <protection locked="0"/>
    </xf>
    <xf numFmtId="0" fontId="2" fillId="14" borderId="12" xfId="7" applyFont="1" applyFill="1" applyBorder="1" applyAlignment="1" applyProtection="1">
      <alignment horizontal="left" vertical="center"/>
      <protection locked="0"/>
    </xf>
    <xf numFmtId="0" fontId="2" fillId="14" borderId="13" xfId="7" applyNumberFormat="1" applyFont="1" applyFill="1" applyBorder="1" applyAlignment="1" applyProtection="1">
      <alignment horizontal="center" vertical="center"/>
      <protection locked="0"/>
    </xf>
    <xf numFmtId="0" fontId="1" fillId="0" borderId="0" xfId="7" applyFont="1" applyFill="1" applyBorder="1" applyAlignment="1" applyProtection="1">
      <protection hidden="1"/>
    </xf>
    <xf numFmtId="0" fontId="6" fillId="15" borderId="0" xfId="7" applyFont="1" applyFill="1"/>
    <xf numFmtId="0" fontId="1" fillId="2" borderId="0" xfId="7" applyFont="1" applyFill="1"/>
    <xf numFmtId="0" fontId="1" fillId="0" borderId="0" xfId="7" applyFont="1"/>
    <xf numFmtId="0" fontId="1" fillId="0" borderId="0" xfId="7" applyFont="1" applyProtection="1">
      <protection hidden="1"/>
    </xf>
    <xf numFmtId="0" fontId="1" fillId="0" borderId="0" xfId="7" applyFont="1" applyAlignment="1">
      <alignment horizontal="center"/>
    </xf>
    <xf numFmtId="0" fontId="1" fillId="0" borderId="0" xfId="7" applyFont="1" applyAlignment="1"/>
    <xf numFmtId="0" fontId="1" fillId="0" borderId="0" xfId="7" applyFont="1" applyAlignment="1">
      <alignment horizontal="left" indent="3"/>
    </xf>
    <xf numFmtId="0" fontId="2" fillId="13" borderId="0" xfId="10" applyFont="1" applyFill="1" applyProtection="1">
      <protection locked="0"/>
    </xf>
    <xf numFmtId="0" fontId="14" fillId="13" borderId="0" xfId="10" applyFont="1" applyFill="1" applyProtection="1">
      <protection locked="0"/>
    </xf>
    <xf numFmtId="0" fontId="2" fillId="13" borderId="0" xfId="7" applyFont="1" applyFill="1" applyAlignment="1" applyProtection="1">
      <protection locked="0"/>
    </xf>
    <xf numFmtId="0" fontId="76" fillId="13" borderId="0" xfId="10" applyFont="1" applyFill="1" applyProtection="1">
      <protection hidden="1"/>
    </xf>
    <xf numFmtId="0" fontId="75" fillId="13" borderId="0" xfId="10" applyFont="1" applyFill="1" applyProtection="1"/>
    <xf numFmtId="0" fontId="75" fillId="13" borderId="0" xfId="10" applyFont="1" applyFill="1" applyAlignment="1" applyProtection="1">
      <alignment horizontal="right"/>
      <protection locked="0"/>
    </xf>
    <xf numFmtId="0" fontId="75" fillId="13" borderId="0" xfId="10" applyFont="1" applyFill="1" applyProtection="1">
      <protection locked="0"/>
    </xf>
    <xf numFmtId="0" fontId="75" fillId="0" borderId="0" xfId="10" applyFont="1" applyProtection="1">
      <protection locked="0"/>
    </xf>
    <xf numFmtId="0" fontId="75" fillId="13" borderId="0" xfId="10" applyFont="1" applyFill="1" applyAlignment="1" applyProtection="1">
      <alignment horizontal="centerContinuous"/>
    </xf>
    <xf numFmtId="0" fontId="75" fillId="13" borderId="0" xfId="10" applyFont="1" applyFill="1" applyAlignment="1" applyProtection="1">
      <alignment horizontal="centerContinuous"/>
      <protection locked="0"/>
    </xf>
    <xf numFmtId="5" fontId="74" fillId="13" borderId="0" xfId="10" applyNumberFormat="1" applyFont="1" applyFill="1" applyBorder="1" applyAlignment="1" applyProtection="1">
      <alignment horizontal="center"/>
      <protection locked="0"/>
    </xf>
    <xf numFmtId="0" fontId="74" fillId="13" borderId="0" xfId="7" applyFont="1" applyFill="1" applyAlignment="1" applyProtection="1">
      <alignment horizontal="center"/>
      <protection locked="0"/>
    </xf>
    <xf numFmtId="0" fontId="75" fillId="13" borderId="0" xfId="10" applyFont="1" applyFill="1" applyAlignment="1" applyProtection="1">
      <protection locked="0"/>
    </xf>
    <xf numFmtId="0" fontId="75" fillId="13" borderId="0" xfId="10" applyFont="1" applyFill="1" applyBorder="1" applyAlignment="1" applyProtection="1">
      <alignment horizontal="centerContinuous"/>
      <protection locked="0"/>
    </xf>
    <xf numFmtId="0" fontId="75" fillId="13" borderId="0" xfId="7" applyFont="1" applyFill="1" applyProtection="1">
      <protection locked="0"/>
    </xf>
    <xf numFmtId="0" fontId="74" fillId="13" borderId="0" xfId="10" applyFont="1" applyFill="1" applyProtection="1">
      <protection locked="0"/>
    </xf>
    <xf numFmtId="0" fontId="77" fillId="13" borderId="0" xfId="7" applyFont="1" applyFill="1" applyBorder="1" applyAlignment="1" applyProtection="1">
      <alignment horizontal="center"/>
      <protection locked="0"/>
    </xf>
    <xf numFmtId="0" fontId="75" fillId="13" borderId="0" xfId="7" applyFont="1" applyFill="1" applyAlignment="1" applyProtection="1">
      <alignment horizontal="center"/>
      <protection locked="0"/>
    </xf>
    <xf numFmtId="0" fontId="75" fillId="13" borderId="0" xfId="7" applyFont="1" applyFill="1" applyBorder="1" applyProtection="1">
      <protection locked="0"/>
    </xf>
    <xf numFmtId="0" fontId="75" fillId="13" borderId="0" xfId="7" applyFont="1" applyFill="1" applyAlignment="1" applyProtection="1">
      <protection locked="0"/>
    </xf>
    <xf numFmtId="0" fontId="75" fillId="13" borderId="0" xfId="7" applyFont="1" applyFill="1" applyBorder="1" applyAlignment="1" applyProtection="1">
      <alignment horizontal="center" shrinkToFit="1"/>
      <protection locked="0"/>
    </xf>
    <xf numFmtId="42" fontId="77" fillId="13" borderId="0" xfId="4" applyNumberFormat="1" applyFont="1" applyFill="1" applyBorder="1" applyProtection="1">
      <protection locked="0"/>
    </xf>
    <xf numFmtId="0" fontId="75" fillId="0" borderId="0" xfId="7" applyFont="1" applyBorder="1" applyProtection="1">
      <protection locked="0"/>
    </xf>
    <xf numFmtId="0" fontId="74" fillId="13" borderId="0" xfId="10" applyFont="1" applyFill="1" applyBorder="1" applyProtection="1">
      <protection locked="0"/>
    </xf>
    <xf numFmtId="0" fontId="75" fillId="16" borderId="0" xfId="7" applyFont="1" applyFill="1" applyBorder="1" applyProtection="1">
      <protection locked="0"/>
    </xf>
    <xf numFmtId="0" fontId="75" fillId="16" borderId="0" xfId="7" applyFont="1" applyFill="1" applyBorder="1" applyAlignment="1" applyProtection="1">
      <alignment horizontal="left"/>
      <protection locked="0"/>
    </xf>
    <xf numFmtId="172" fontId="75" fillId="16" borderId="0" xfId="7" applyNumberFormat="1" applyFont="1" applyFill="1" applyBorder="1" applyProtection="1">
      <protection locked="0"/>
    </xf>
    <xf numFmtId="10" fontId="75" fillId="16" borderId="0" xfId="7" applyNumberFormat="1" applyFont="1" applyFill="1" applyBorder="1" applyProtection="1">
      <protection locked="0"/>
    </xf>
    <xf numFmtId="0" fontId="75" fillId="16" borderId="0" xfId="7" applyFont="1" applyFill="1" applyBorder="1" applyAlignment="1" applyProtection="1">
      <alignment horizontal="center"/>
      <protection locked="0"/>
    </xf>
    <xf numFmtId="0" fontId="77" fillId="16" borderId="0" xfId="7" applyFont="1" applyFill="1" applyBorder="1" applyAlignment="1" applyProtection="1">
      <alignment horizontal="center"/>
      <protection locked="0"/>
    </xf>
    <xf numFmtId="0" fontId="75" fillId="16" borderId="0" xfId="10" applyFont="1" applyFill="1" applyBorder="1" applyAlignment="1" applyProtection="1">
      <alignment horizontal="center"/>
    </xf>
    <xf numFmtId="38" fontId="75" fillId="16" borderId="0" xfId="2" applyNumberFormat="1" applyFont="1" applyFill="1" applyBorder="1" applyAlignment="1" applyProtection="1">
      <alignment horizontal="right"/>
      <protection locked="0"/>
    </xf>
    <xf numFmtId="38" fontId="75" fillId="16" borderId="0" xfId="7" applyNumberFormat="1" applyFont="1" applyFill="1" applyBorder="1" applyProtection="1"/>
    <xf numFmtId="0" fontId="75" fillId="16" borderId="0" xfId="10" applyFont="1" applyFill="1" applyBorder="1" applyAlignment="1" applyProtection="1">
      <alignment horizontal="center"/>
      <protection locked="0"/>
    </xf>
    <xf numFmtId="38" fontId="75" fillId="14" borderId="13" xfId="2" applyNumberFormat="1" applyFont="1" applyFill="1" applyBorder="1" applyAlignment="1" applyProtection="1">
      <alignment horizontal="right"/>
      <protection locked="0"/>
    </xf>
    <xf numFmtId="37" fontId="75" fillId="14" borderId="13" xfId="7" applyNumberFormat="1" applyFont="1" applyFill="1" applyBorder="1" applyProtection="1">
      <protection locked="0"/>
    </xf>
    <xf numFmtId="0" fontId="75" fillId="14" borderId="13" xfId="7" applyFont="1" applyFill="1" applyBorder="1" applyProtection="1">
      <protection locked="0"/>
    </xf>
    <xf numFmtId="42" fontId="77" fillId="16" borderId="0" xfId="4" applyNumberFormat="1" applyFont="1" applyFill="1" applyBorder="1" applyProtection="1">
      <protection locked="0"/>
    </xf>
    <xf numFmtId="0" fontId="75" fillId="16" borderId="0" xfId="7" applyFont="1" applyFill="1" applyBorder="1" applyAlignment="1" applyProtection="1">
      <alignment wrapText="1"/>
      <protection locked="0"/>
    </xf>
    <xf numFmtId="0" fontId="74" fillId="16" borderId="0" xfId="7" applyFont="1" applyFill="1" applyBorder="1" applyAlignment="1" applyProtection="1">
      <alignment horizontal="left"/>
      <protection locked="0"/>
    </xf>
    <xf numFmtId="0" fontId="78" fillId="16" borderId="0" xfId="7" applyFont="1" applyFill="1" applyBorder="1" applyAlignment="1" applyProtection="1">
      <alignment horizontal="left"/>
      <protection locked="0"/>
    </xf>
    <xf numFmtId="0" fontId="74" fillId="16" borderId="0" xfId="7" applyFont="1" applyFill="1" applyBorder="1" applyProtection="1">
      <protection locked="0"/>
    </xf>
    <xf numFmtId="0" fontId="78" fillId="16" borderId="0" xfId="7" applyFont="1" applyFill="1" applyBorder="1" applyProtection="1">
      <protection locked="0"/>
    </xf>
    <xf numFmtId="0" fontId="75" fillId="16" borderId="0" xfId="7" applyFont="1" applyFill="1" applyBorder="1" applyAlignment="1" applyProtection="1">
      <alignment vertical="top"/>
      <protection locked="0"/>
    </xf>
    <xf numFmtId="0" fontId="75" fillId="16" borderId="0" xfId="7" applyFont="1" applyFill="1" applyBorder="1" applyAlignment="1" applyProtection="1">
      <alignment horizontal="left" vertical="top"/>
      <protection locked="0"/>
    </xf>
    <xf numFmtId="0" fontId="75" fillId="16" borderId="0" xfId="7" applyFont="1" applyFill="1" applyBorder="1" applyAlignment="1" applyProtection="1">
      <alignment horizontal="left" vertical="center"/>
      <protection locked="0"/>
    </xf>
    <xf numFmtId="0" fontId="75" fillId="16" borderId="0" xfId="7" applyFont="1" applyFill="1" applyBorder="1" applyAlignment="1" applyProtection="1">
      <alignment vertical="top" wrapText="1"/>
      <protection locked="0"/>
    </xf>
    <xf numFmtId="0" fontId="75" fillId="16" borderId="0" xfId="7" applyFont="1" applyFill="1" applyBorder="1" applyAlignment="1" applyProtection="1">
      <alignment horizontal="center" shrinkToFit="1"/>
      <protection locked="0"/>
    </xf>
    <xf numFmtId="0" fontId="75" fillId="14" borderId="13" xfId="7" applyFont="1" applyFill="1" applyBorder="1" applyAlignment="1" applyProtection="1">
      <alignment vertical="top" wrapText="1"/>
      <protection locked="0"/>
    </xf>
    <xf numFmtId="0" fontId="74" fillId="16" borderId="0" xfId="7" applyFont="1" applyFill="1" applyBorder="1" applyAlignment="1" applyProtection="1">
      <alignment horizontal="left" shrinkToFit="1"/>
      <protection locked="0"/>
    </xf>
    <xf numFmtId="0" fontId="74" fillId="16" borderId="49" xfId="10" applyFont="1" applyFill="1" applyBorder="1" applyProtection="1">
      <protection locked="0"/>
    </xf>
    <xf numFmtId="0" fontId="75" fillId="16" borderId="50" xfId="7" applyFont="1" applyFill="1" applyBorder="1" applyProtection="1">
      <protection locked="0"/>
    </xf>
    <xf numFmtId="0" fontId="75" fillId="16" borderId="51" xfId="7" applyFont="1" applyFill="1" applyBorder="1" applyProtection="1">
      <protection locked="0"/>
    </xf>
    <xf numFmtId="0" fontId="78" fillId="16" borderId="52" xfId="7" applyFont="1" applyFill="1" applyBorder="1" applyProtection="1">
      <protection locked="0"/>
    </xf>
    <xf numFmtId="0" fontId="75" fillId="16" borderId="53" xfId="7" applyFont="1" applyFill="1" applyBorder="1" applyProtection="1">
      <protection locked="0"/>
    </xf>
    <xf numFmtId="0" fontId="75" fillId="16" borderId="52" xfId="7" applyFont="1" applyFill="1" applyBorder="1" applyProtection="1">
      <protection locked="0"/>
    </xf>
    <xf numFmtId="0" fontId="78" fillId="16" borderId="52" xfId="7" applyFont="1" applyFill="1" applyBorder="1" applyAlignment="1" applyProtection="1">
      <alignment horizontal="left"/>
      <protection locked="0"/>
    </xf>
    <xf numFmtId="0" fontId="74" fillId="16" borderId="52" xfId="10" applyFont="1" applyFill="1" applyBorder="1" applyProtection="1">
      <protection locked="0"/>
    </xf>
    <xf numFmtId="0" fontId="74" fillId="16" borderId="0" xfId="7" applyFont="1" applyFill="1" applyBorder="1" applyAlignment="1" applyProtection="1">
      <alignment vertical="top"/>
      <protection locked="0"/>
    </xf>
    <xf numFmtId="0" fontId="75" fillId="16" borderId="0" xfId="7" applyFont="1" applyFill="1" applyBorder="1" applyAlignment="1" applyProtection="1">
      <alignment vertical="top" wrapText="1"/>
    </xf>
    <xf numFmtId="0" fontId="75" fillId="16" borderId="0" xfId="7" applyFont="1" applyFill="1" applyBorder="1" applyAlignment="1" applyProtection="1">
      <alignment vertical="top"/>
    </xf>
    <xf numFmtId="0" fontId="74" fillId="16" borderId="0" xfId="7" applyFont="1" applyFill="1" applyBorder="1" applyAlignment="1" applyProtection="1">
      <protection locked="0"/>
    </xf>
    <xf numFmtId="0" fontId="75" fillId="16" borderId="0" xfId="7" applyFont="1" applyFill="1" applyBorder="1" applyAlignment="1" applyProtection="1">
      <protection locked="0"/>
    </xf>
    <xf numFmtId="0" fontId="74" fillId="16" borderId="52" xfId="7" applyFont="1" applyFill="1" applyBorder="1" applyAlignment="1" applyProtection="1">
      <alignment horizontal="left"/>
      <protection locked="0"/>
    </xf>
    <xf numFmtId="0" fontId="75" fillId="16" borderId="54" xfId="7" applyFont="1" applyFill="1" applyBorder="1" applyProtection="1">
      <protection locked="0"/>
    </xf>
    <xf numFmtId="0" fontId="75" fillId="16" borderId="55" xfId="7" applyFont="1" applyFill="1" applyBorder="1" applyProtection="1">
      <protection locked="0"/>
    </xf>
    <xf numFmtId="0" fontId="75" fillId="16" borderId="56" xfId="7" applyFont="1" applyFill="1" applyBorder="1" applyProtection="1">
      <protection locked="0"/>
    </xf>
    <xf numFmtId="38" fontId="75" fillId="16" borderId="13" xfId="7" applyNumberFormat="1" applyFont="1" applyFill="1" applyBorder="1" applyProtection="1"/>
    <xf numFmtId="0" fontId="75" fillId="13" borderId="0" xfId="7" applyFont="1" applyFill="1" applyBorder="1" applyAlignment="1" applyProtection="1">
      <protection locked="0"/>
    </xf>
    <xf numFmtId="0" fontId="75" fillId="13" borderId="0" xfId="7" applyFont="1" applyFill="1" applyBorder="1" applyAlignment="1" applyProtection="1">
      <alignment vertical="top"/>
      <protection locked="0"/>
    </xf>
    <xf numFmtId="0" fontId="75" fillId="13" borderId="0" xfId="7" applyFont="1" applyFill="1" applyBorder="1" applyAlignment="1" applyProtection="1">
      <alignment wrapText="1"/>
      <protection locked="0"/>
    </xf>
    <xf numFmtId="0" fontId="75" fillId="13" borderId="0" xfId="7" applyFont="1" applyFill="1" applyBorder="1" applyAlignment="1" applyProtection="1">
      <alignment horizontal="left" vertical="top" indent="2"/>
      <protection locked="0"/>
    </xf>
    <xf numFmtId="0" fontId="75" fillId="16" borderId="0" xfId="7" applyFont="1" applyFill="1" applyBorder="1" applyAlignment="1" applyProtection="1">
      <alignment horizontal="left" wrapText="1" indent="1"/>
      <protection locked="0"/>
    </xf>
    <xf numFmtId="0" fontId="75" fillId="16" borderId="0" xfId="7" applyFont="1" applyFill="1" applyBorder="1" applyAlignment="1" applyProtection="1">
      <alignment horizontal="left" indent="1"/>
      <protection locked="0"/>
    </xf>
    <xf numFmtId="0" fontId="74" fillId="16" borderId="0" xfId="7" applyFont="1" applyFill="1" applyBorder="1" applyAlignment="1" applyProtection="1">
      <alignment horizontal="center" vertical="top"/>
      <protection locked="0"/>
    </xf>
    <xf numFmtId="0" fontId="74" fillId="16" borderId="0" xfId="7" applyFont="1" applyFill="1" applyBorder="1" applyAlignment="1" applyProtection="1">
      <alignment horizontal="left" vertical="top"/>
      <protection locked="0"/>
    </xf>
    <xf numFmtId="0" fontId="75" fillId="16" borderId="0" xfId="7" applyFont="1" applyFill="1" applyBorder="1" applyAlignment="1" applyProtection="1">
      <alignment horizontal="left" indent="1"/>
    </xf>
    <xf numFmtId="0" fontId="75" fillId="16" borderId="0" xfId="7" applyFont="1" applyFill="1" applyBorder="1" applyAlignment="1" applyProtection="1"/>
    <xf numFmtId="0" fontId="75" fillId="16" borderId="49" xfId="7" applyFont="1" applyFill="1" applyBorder="1" applyProtection="1">
      <protection locked="0"/>
    </xf>
    <xf numFmtId="0" fontId="75" fillId="16" borderId="52" xfId="7" applyFont="1" applyFill="1" applyBorder="1" applyAlignment="1" applyProtection="1">
      <protection locked="0"/>
    </xf>
    <xf numFmtId="0" fontId="75" fillId="16" borderId="54" xfId="7" applyFont="1" applyFill="1" applyBorder="1" applyAlignment="1" applyProtection="1">
      <protection locked="0"/>
    </xf>
    <xf numFmtId="0" fontId="75" fillId="16" borderId="55" xfId="7" applyFont="1" applyFill="1" applyBorder="1" applyAlignment="1" applyProtection="1">
      <alignment vertical="top"/>
      <protection locked="0"/>
    </xf>
    <xf numFmtId="0" fontId="74" fillId="16" borderId="55" xfId="7" applyFont="1" applyFill="1" applyBorder="1" applyAlignment="1" applyProtection="1">
      <alignment horizontal="center" vertical="top"/>
      <protection locked="0"/>
    </xf>
    <xf numFmtId="42" fontId="77" fillId="16" borderId="55" xfId="4" applyNumberFormat="1" applyFont="1" applyFill="1" applyBorder="1" applyProtection="1">
      <protection locked="0"/>
    </xf>
    <xf numFmtId="0" fontId="75" fillId="13" borderId="0" xfId="10" applyFont="1" applyFill="1" applyBorder="1" applyAlignment="1" applyProtection="1">
      <alignment horizontal="left"/>
    </xf>
    <xf numFmtId="0" fontId="75" fillId="13" borderId="0" xfId="10" applyFont="1" applyFill="1" applyBorder="1" applyProtection="1">
      <protection locked="0"/>
    </xf>
    <xf numFmtId="0" fontId="75" fillId="16" borderId="0" xfId="7" applyFont="1" applyFill="1" applyBorder="1" applyAlignment="1" applyProtection="1">
      <alignment horizontal="left" wrapText="1"/>
      <protection locked="0"/>
    </xf>
    <xf numFmtId="0" fontId="75" fillId="16" borderId="0" xfId="10" applyFont="1" applyFill="1" applyBorder="1" applyProtection="1">
      <protection locked="0"/>
    </xf>
    <xf numFmtId="0" fontId="75" fillId="16" borderId="0" xfId="10" applyFont="1" applyFill="1" applyBorder="1" applyAlignment="1" applyProtection="1">
      <alignment horizontal="right"/>
      <protection locked="0"/>
    </xf>
    <xf numFmtId="0" fontId="75" fillId="14" borderId="13" xfId="7" applyFont="1" applyFill="1" applyBorder="1" applyAlignment="1" applyProtection="1">
      <alignment wrapText="1"/>
      <protection locked="0"/>
    </xf>
    <xf numFmtId="0" fontId="75" fillId="16" borderId="0" xfId="10" applyFont="1" applyFill="1" applyBorder="1" applyAlignment="1" applyProtection="1">
      <alignment horizontal="centerContinuous"/>
      <protection locked="0"/>
    </xf>
    <xf numFmtId="0" fontId="75" fillId="16" borderId="50" xfId="7" applyFont="1" applyFill="1" applyBorder="1" applyAlignment="1" applyProtection="1">
      <alignment horizontal="left" vertical="top" indent="2"/>
      <protection locked="0"/>
    </xf>
    <xf numFmtId="0" fontId="75" fillId="16" borderId="50" xfId="7" applyFont="1" applyFill="1" applyBorder="1" applyAlignment="1" applyProtection="1">
      <alignment vertical="top"/>
      <protection locked="0"/>
    </xf>
    <xf numFmtId="0" fontId="75" fillId="16" borderId="50" xfId="7" applyFont="1" applyFill="1" applyBorder="1" applyAlignment="1" applyProtection="1">
      <alignment horizontal="center" shrinkToFit="1"/>
      <protection locked="0"/>
    </xf>
    <xf numFmtId="42" fontId="77" fillId="16" borderId="50" xfId="4" applyNumberFormat="1" applyFont="1" applyFill="1" applyBorder="1" applyProtection="1">
      <protection locked="0"/>
    </xf>
    <xf numFmtId="0" fontId="75" fillId="16" borderId="50" xfId="7" applyFont="1" applyFill="1" applyBorder="1" applyAlignment="1" applyProtection="1">
      <alignment wrapText="1"/>
      <protection locked="0"/>
    </xf>
    <xf numFmtId="0" fontId="74" fillId="16" borderId="52" xfId="7" applyFont="1" applyFill="1" applyBorder="1" applyProtection="1">
      <protection locked="0"/>
    </xf>
    <xf numFmtId="0" fontId="75" fillId="16" borderId="52" xfId="10" applyFont="1" applyFill="1" applyBorder="1" applyAlignment="1" applyProtection="1">
      <alignment horizontal="left"/>
    </xf>
    <xf numFmtId="0" fontId="75" fillId="16" borderId="52" xfId="10" applyFont="1" applyFill="1" applyBorder="1" applyProtection="1">
      <protection locked="0"/>
    </xf>
    <xf numFmtId="0" fontId="75" fillId="16" borderId="52" xfId="10" applyFont="1" applyFill="1" applyBorder="1" applyAlignment="1" applyProtection="1">
      <alignment horizontal="centerContinuous"/>
      <protection locked="0"/>
    </xf>
    <xf numFmtId="0" fontId="75" fillId="16" borderId="52" xfId="10" applyFont="1" applyFill="1" applyBorder="1" applyAlignment="1" applyProtection="1">
      <protection locked="0"/>
    </xf>
    <xf numFmtId="0" fontId="75" fillId="16" borderId="55" xfId="7" applyFont="1" applyFill="1" applyBorder="1" applyAlignment="1" applyProtection="1">
      <protection locked="0"/>
    </xf>
    <xf numFmtId="0" fontId="75" fillId="16" borderId="55" xfId="7" applyFont="1" applyFill="1" applyBorder="1" applyAlignment="1" applyProtection="1">
      <alignment wrapText="1"/>
      <protection locked="0"/>
    </xf>
    <xf numFmtId="0" fontId="74" fillId="13" borderId="0" xfId="7" applyFont="1" applyFill="1" applyBorder="1" applyProtection="1">
      <protection locked="0"/>
    </xf>
    <xf numFmtId="0" fontId="75" fillId="16" borderId="53" xfId="7" applyFont="1" applyFill="1" applyBorder="1" applyAlignment="1" applyProtection="1">
      <alignment horizontal="center"/>
      <protection locked="0"/>
    </xf>
    <xf numFmtId="0" fontId="75" fillId="16" borderId="55" xfId="7" applyFont="1" applyFill="1" applyBorder="1" applyAlignment="1" applyProtection="1">
      <alignment horizontal="left"/>
      <protection locked="0"/>
    </xf>
    <xf numFmtId="0" fontId="75" fillId="16" borderId="55" xfId="10" applyFont="1" applyFill="1" applyBorder="1" applyAlignment="1" applyProtection="1">
      <alignment horizontal="center"/>
      <protection locked="0"/>
    </xf>
    <xf numFmtId="38" fontId="75" fillId="16" borderId="55" xfId="2" applyNumberFormat="1" applyFont="1" applyFill="1" applyBorder="1" applyAlignment="1" applyProtection="1">
      <alignment horizontal="right"/>
      <protection locked="0"/>
    </xf>
    <xf numFmtId="38" fontId="75" fillId="16" borderId="55" xfId="7" applyNumberFormat="1" applyFont="1" applyFill="1" applyBorder="1" applyProtection="1">
      <protection locked="0"/>
    </xf>
    <xf numFmtId="0" fontId="75" fillId="16" borderId="50" xfId="7" applyFont="1" applyFill="1" applyBorder="1" applyAlignment="1" applyProtection="1">
      <protection locked="0"/>
    </xf>
    <xf numFmtId="0" fontId="25" fillId="0" borderId="0" xfId="10" applyFont="1" applyBorder="1" applyAlignment="1" applyProtection="1">
      <alignment horizontal="centerContinuous"/>
      <protection locked="0"/>
    </xf>
    <xf numFmtId="5" fontId="14" fillId="0" borderId="0" xfId="10" applyNumberFormat="1" applyFont="1" applyBorder="1" applyAlignment="1" applyProtection="1">
      <alignment horizontal="right"/>
      <protection locked="0" hidden="1"/>
    </xf>
    <xf numFmtId="0" fontId="29" fillId="13" borderId="0" xfId="10" applyFont="1" applyFill="1" applyProtection="1">
      <protection locked="0" hidden="1"/>
    </xf>
    <xf numFmtId="0" fontId="30" fillId="13" borderId="0" xfId="10" applyFont="1" applyFill="1" applyProtection="1">
      <protection locked="0"/>
    </xf>
    <xf numFmtId="0" fontId="2" fillId="13" borderId="0" xfId="10" applyFont="1" applyFill="1" applyBorder="1" applyAlignment="1" applyProtection="1">
      <alignment horizontal="centerContinuous"/>
      <protection locked="0"/>
    </xf>
    <xf numFmtId="0" fontId="31" fillId="13" borderId="0" xfId="10" applyFont="1" applyFill="1" applyAlignment="1" applyProtection="1">
      <alignment horizontal="left"/>
      <protection locked="0"/>
    </xf>
    <xf numFmtId="37" fontId="9" fillId="13" borderId="0" xfId="10" applyNumberFormat="1" applyFont="1" applyFill="1" applyBorder="1" applyAlignment="1" applyProtection="1">
      <alignment horizontal="centerContinuous"/>
      <protection locked="0"/>
    </xf>
    <xf numFmtId="0" fontId="25" fillId="13" borderId="0" xfId="10" applyFont="1" applyFill="1" applyBorder="1" applyAlignment="1" applyProtection="1">
      <alignment horizontal="centerContinuous"/>
      <protection locked="0"/>
    </xf>
    <xf numFmtId="0" fontId="2" fillId="13" borderId="0" xfId="10" applyFont="1" applyFill="1" applyBorder="1" applyProtection="1">
      <protection locked="0"/>
    </xf>
    <xf numFmtId="5" fontId="14" fillId="13" borderId="0" xfId="10" applyNumberFormat="1" applyFont="1" applyFill="1" applyBorder="1" applyProtection="1"/>
    <xf numFmtId="37" fontId="14" fillId="13" borderId="0" xfId="10" applyNumberFormat="1" applyFont="1" applyFill="1" applyBorder="1" applyProtection="1"/>
    <xf numFmtId="0" fontId="2" fillId="13" borderId="0" xfId="10" applyFont="1" applyFill="1" applyBorder="1" applyProtection="1">
      <protection locked="0" hidden="1"/>
    </xf>
    <xf numFmtId="37" fontId="75" fillId="13" borderId="0" xfId="10" applyNumberFormat="1" applyFont="1" applyFill="1" applyAlignment="1" applyProtection="1">
      <alignment horizontal="right"/>
      <protection locked="0"/>
    </xf>
    <xf numFmtId="5" fontId="14" fillId="13" borderId="0" xfId="10" applyNumberFormat="1" applyFont="1" applyFill="1" applyBorder="1" applyAlignment="1" applyProtection="1">
      <alignment horizontal="right"/>
      <protection locked="0" hidden="1"/>
    </xf>
    <xf numFmtId="5" fontId="9" fillId="13" borderId="0" xfId="10" applyNumberFormat="1" applyFont="1" applyFill="1" applyBorder="1" applyAlignment="1" applyProtection="1">
      <alignment horizontal="right"/>
      <protection locked="0" hidden="1"/>
    </xf>
    <xf numFmtId="37" fontId="14" fillId="13" borderId="0" xfId="10" applyNumberFormat="1" applyFont="1" applyFill="1" applyBorder="1" applyAlignment="1" applyProtection="1">
      <alignment horizontal="fill"/>
      <protection locked="0"/>
    </xf>
    <xf numFmtId="37" fontId="14" fillId="13" borderId="0" xfId="10" applyNumberFormat="1" applyFont="1" applyFill="1" applyBorder="1" applyProtection="1">
      <protection locked="0"/>
    </xf>
    <xf numFmtId="5" fontId="14" fillId="13" borderId="0" xfId="10" applyNumberFormat="1" applyFont="1" applyFill="1" applyBorder="1" applyProtection="1">
      <protection locked="0" hidden="1"/>
    </xf>
    <xf numFmtId="37" fontId="14" fillId="13" borderId="0" xfId="10" applyNumberFormat="1" applyFont="1" applyFill="1" applyBorder="1" applyProtection="1">
      <protection locked="0" hidden="1"/>
    </xf>
    <xf numFmtId="5" fontId="2" fillId="13" borderId="0" xfId="10" applyNumberFormat="1" applyFont="1" applyFill="1" applyBorder="1" applyProtection="1">
      <protection locked="0"/>
    </xf>
    <xf numFmtId="5" fontId="14" fillId="13" borderId="0" xfId="10" applyNumberFormat="1" applyFont="1" applyFill="1" applyBorder="1" applyAlignment="1" applyProtection="1">
      <alignment horizontal="fill"/>
      <protection locked="0"/>
    </xf>
    <xf numFmtId="0" fontId="14" fillId="13" borderId="0" xfId="10" applyFont="1" applyFill="1" applyBorder="1" applyProtection="1">
      <protection locked="0"/>
    </xf>
    <xf numFmtId="0" fontId="32" fillId="13" borderId="0" xfId="10" applyFont="1" applyFill="1" applyBorder="1" applyProtection="1">
      <protection locked="0"/>
    </xf>
    <xf numFmtId="5" fontId="32" fillId="13" borderId="0" xfId="10" applyNumberFormat="1" applyFont="1" applyFill="1" applyBorder="1" applyProtection="1">
      <protection locked="0"/>
    </xf>
    <xf numFmtId="10" fontId="14" fillId="13" borderId="0" xfId="10" applyNumberFormat="1" applyFont="1" applyFill="1" applyBorder="1" applyProtection="1"/>
    <xf numFmtId="37" fontId="14" fillId="13" borderId="0" xfId="10" applyNumberFormat="1" applyFont="1" applyFill="1" applyProtection="1">
      <protection locked="0"/>
    </xf>
    <xf numFmtId="7" fontId="75" fillId="16" borderId="0" xfId="10" applyNumberFormat="1" applyFont="1" applyFill="1" applyBorder="1" applyProtection="1">
      <protection locked="0"/>
    </xf>
    <xf numFmtId="37" fontId="75" fillId="16" borderId="0" xfId="10" applyNumberFormat="1" applyFont="1" applyFill="1" applyBorder="1" applyProtection="1">
      <protection locked="0"/>
    </xf>
    <xf numFmtId="5" fontId="75" fillId="16" borderId="0" xfId="10" applyNumberFormat="1" applyFont="1" applyFill="1" applyBorder="1" applyAlignment="1" applyProtection="1">
      <alignment horizontal="fill"/>
      <protection locked="0" hidden="1"/>
    </xf>
    <xf numFmtId="0" fontId="75" fillId="16" borderId="0" xfId="10" applyFont="1" applyFill="1" applyBorder="1" applyProtection="1">
      <protection locked="0" hidden="1"/>
    </xf>
    <xf numFmtId="37" fontId="75" fillId="16" borderId="0" xfId="10" applyNumberFormat="1" applyFont="1" applyFill="1" applyBorder="1" applyAlignment="1" applyProtection="1">
      <alignment horizontal="fill"/>
      <protection locked="0"/>
    </xf>
    <xf numFmtId="5" fontId="75" fillId="16" borderId="0" xfId="10" applyNumberFormat="1" applyFont="1" applyFill="1" applyBorder="1" applyProtection="1">
      <protection locked="0" hidden="1"/>
    </xf>
    <xf numFmtId="5" fontId="75" fillId="16" borderId="10" xfId="10" applyNumberFormat="1" applyFont="1" applyFill="1" applyBorder="1" applyProtection="1"/>
    <xf numFmtId="5" fontId="75" fillId="16" borderId="18" xfId="10" applyNumberFormat="1" applyFont="1" applyFill="1" applyBorder="1" applyProtection="1"/>
    <xf numFmtId="10" fontId="75" fillId="16" borderId="18" xfId="10" applyNumberFormat="1" applyFont="1" applyFill="1" applyBorder="1" applyProtection="1"/>
    <xf numFmtId="0" fontId="75" fillId="16" borderId="0" xfId="7" applyFont="1" applyFill="1" applyBorder="1" applyAlignment="1" applyProtection="1">
      <alignment horizontal="right"/>
      <protection locked="0"/>
    </xf>
    <xf numFmtId="37" fontId="75" fillId="14" borderId="10" xfId="10" applyNumberFormat="1" applyFont="1" applyFill="1" applyBorder="1" applyProtection="1">
      <protection locked="0"/>
    </xf>
    <xf numFmtId="37" fontId="75" fillId="14" borderId="7" xfId="10" applyNumberFormat="1" applyFont="1" applyFill="1" applyBorder="1" applyProtection="1">
      <protection locked="0"/>
    </xf>
    <xf numFmtId="37" fontId="75" fillId="14" borderId="0" xfId="10" applyNumberFormat="1" applyFont="1" applyFill="1" applyBorder="1" applyProtection="1">
      <protection locked="0"/>
    </xf>
    <xf numFmtId="37" fontId="75" fillId="14" borderId="12" xfId="10" applyNumberFormat="1" applyFont="1" applyFill="1" applyBorder="1" applyProtection="1">
      <protection locked="0"/>
    </xf>
    <xf numFmtId="37" fontId="75" fillId="14" borderId="19" xfId="10" applyNumberFormat="1" applyFont="1" applyFill="1" applyBorder="1" applyProtection="1">
      <protection locked="0"/>
    </xf>
    <xf numFmtId="37" fontId="75" fillId="14" borderId="20" xfId="10" applyNumberFormat="1" applyFont="1" applyFill="1" applyBorder="1" applyProtection="1">
      <protection locked="0"/>
    </xf>
    <xf numFmtId="37" fontId="75" fillId="16" borderId="12" xfId="10" applyNumberFormat="1" applyFont="1" applyFill="1" applyBorder="1" applyProtection="1"/>
    <xf numFmtId="37" fontId="75" fillId="16" borderId="19" xfId="10" applyNumberFormat="1" applyFont="1" applyFill="1" applyBorder="1" applyProtection="1"/>
    <xf numFmtId="37" fontId="75" fillId="16" borderId="20" xfId="10" applyNumberFormat="1" applyFont="1" applyFill="1" applyBorder="1" applyProtection="1"/>
    <xf numFmtId="37" fontId="75" fillId="16" borderId="13" xfId="10" applyNumberFormat="1" applyFont="1" applyFill="1" applyBorder="1" applyProtection="1"/>
    <xf numFmtId="37" fontId="75" fillId="16" borderId="21" xfId="10" applyNumberFormat="1" applyFont="1" applyFill="1" applyBorder="1" applyProtection="1"/>
    <xf numFmtId="5" fontId="75" fillId="14" borderId="13" xfId="10" applyNumberFormat="1" applyFont="1" applyFill="1" applyBorder="1" applyProtection="1">
      <protection locked="0"/>
    </xf>
    <xf numFmtId="7" fontId="75" fillId="14" borderId="13" xfId="10" applyNumberFormat="1" applyFont="1" applyFill="1" applyBorder="1" applyProtection="1">
      <protection locked="0"/>
    </xf>
    <xf numFmtId="0" fontId="2" fillId="16" borderId="0" xfId="10" applyFont="1" applyFill="1" applyBorder="1" applyProtection="1">
      <protection locked="0"/>
    </xf>
    <xf numFmtId="0" fontId="77" fillId="16" borderId="0" xfId="10" applyFont="1" applyFill="1" applyBorder="1" applyAlignment="1" applyProtection="1">
      <alignment horizontal="right"/>
      <protection locked="0"/>
    </xf>
    <xf numFmtId="37" fontId="75" fillId="16" borderId="0" xfId="10" applyNumberFormat="1" applyFont="1" applyFill="1" applyBorder="1" applyAlignment="1" applyProtection="1">
      <alignment horizontal="right"/>
      <protection locked="0" hidden="1"/>
    </xf>
    <xf numFmtId="0" fontId="74" fillId="16" borderId="0" xfId="10" applyFont="1" applyFill="1" applyBorder="1" applyAlignment="1" applyProtection="1">
      <alignment horizontal="right"/>
      <protection locked="0"/>
    </xf>
    <xf numFmtId="0" fontId="74" fillId="16" borderId="10" xfId="10" applyFont="1" applyFill="1" applyBorder="1" applyAlignment="1" applyProtection="1">
      <alignment horizontal="center"/>
      <protection locked="0"/>
    </xf>
    <xf numFmtId="0" fontId="74" fillId="16" borderId="0" xfId="10" applyFont="1" applyFill="1" applyBorder="1" applyAlignment="1" applyProtection="1">
      <alignment horizontal="center"/>
      <protection locked="0"/>
    </xf>
    <xf numFmtId="37" fontId="74" fillId="16" borderId="10" xfId="10" applyNumberFormat="1" applyFont="1" applyFill="1" applyBorder="1" applyAlignment="1" applyProtection="1">
      <alignment horizontal="right"/>
      <protection locked="0" hidden="1"/>
    </xf>
    <xf numFmtId="37" fontId="74" fillId="16" borderId="0" xfId="10" applyNumberFormat="1" applyFont="1" applyFill="1" applyBorder="1" applyAlignment="1" applyProtection="1">
      <alignment horizontal="left"/>
      <protection locked="0"/>
    </xf>
    <xf numFmtId="37" fontId="75" fillId="16" borderId="0" xfId="10" applyNumberFormat="1" applyFont="1" applyFill="1" applyBorder="1" applyAlignment="1" applyProtection="1">
      <alignment horizontal="left"/>
      <protection locked="0"/>
    </xf>
    <xf numFmtId="0" fontId="74" fillId="16" borderId="0" xfId="10" applyFont="1" applyFill="1" applyBorder="1" applyAlignment="1" applyProtection="1">
      <alignment horizontal="centerContinuous"/>
      <protection locked="0"/>
    </xf>
    <xf numFmtId="0" fontId="74" fillId="16" borderId="0" xfId="10" applyFont="1" applyFill="1" applyBorder="1" applyAlignment="1" applyProtection="1">
      <alignment horizontal="centerContinuous" wrapText="1"/>
      <protection locked="0"/>
    </xf>
    <xf numFmtId="37" fontId="74" fillId="16" borderId="0" xfId="10" applyNumberFormat="1" applyFont="1" applyFill="1" applyBorder="1" applyAlignment="1" applyProtection="1">
      <alignment horizontal="left" wrapText="1"/>
      <protection locked="0"/>
    </xf>
    <xf numFmtId="0" fontId="74" fillId="16" borderId="0" xfId="7" applyFont="1" applyFill="1" applyBorder="1" applyAlignment="1" applyProtection="1">
      <alignment horizontal="right"/>
      <protection locked="0"/>
    </xf>
    <xf numFmtId="0" fontId="10" fillId="13" borderId="0" xfId="10" applyNumberFormat="1" applyFont="1" applyFill="1" applyAlignment="1" applyProtection="1">
      <protection hidden="1"/>
    </xf>
    <xf numFmtId="0" fontId="3" fillId="13" borderId="0" xfId="7" applyNumberFormat="1" applyFont="1" applyFill="1" applyAlignment="1" applyProtection="1">
      <protection hidden="1"/>
    </xf>
    <xf numFmtId="0" fontId="1" fillId="13" borderId="0" xfId="7" applyFill="1" applyAlignment="1" applyProtection="1"/>
    <xf numFmtId="37" fontId="10" fillId="13" borderId="0" xfId="10" applyNumberFormat="1" applyFont="1" applyFill="1" applyAlignment="1" applyProtection="1">
      <protection locked="0"/>
    </xf>
    <xf numFmtId="0" fontId="1" fillId="13" borderId="0" xfId="7" applyFill="1" applyAlignment="1" applyProtection="1">
      <protection locked="0"/>
    </xf>
    <xf numFmtId="37" fontId="74" fillId="13" borderId="0" xfId="10" applyNumberFormat="1" applyFont="1" applyFill="1" applyAlignment="1" applyProtection="1">
      <alignment horizontal="center"/>
      <protection locked="0"/>
    </xf>
    <xf numFmtId="0" fontId="74" fillId="13" borderId="0" xfId="10" applyNumberFormat="1" applyFont="1" applyFill="1" applyAlignment="1" applyProtection="1">
      <alignment horizontal="center"/>
      <protection hidden="1"/>
    </xf>
    <xf numFmtId="173" fontId="75" fillId="16" borderId="21" xfId="3" applyNumberFormat="1" applyFont="1" applyFill="1" applyBorder="1" applyProtection="1"/>
    <xf numFmtId="0" fontId="2" fillId="16" borderId="49" xfId="10" applyFont="1" applyFill="1" applyBorder="1" applyProtection="1">
      <protection locked="0"/>
    </xf>
    <xf numFmtId="0" fontId="2" fillId="16" borderId="50" xfId="10" applyFont="1" applyFill="1" applyBorder="1" applyProtection="1">
      <protection locked="0"/>
    </xf>
    <xf numFmtId="0" fontId="2" fillId="16" borderId="50" xfId="7" applyFont="1" applyFill="1" applyBorder="1" applyAlignment="1" applyProtection="1">
      <protection locked="0"/>
    </xf>
    <xf numFmtId="0" fontId="2" fillId="16" borderId="51" xfId="10" applyFont="1" applyFill="1" applyBorder="1" applyProtection="1">
      <protection locked="0"/>
    </xf>
    <xf numFmtId="37" fontId="74" fillId="16" borderId="0" xfId="10" applyNumberFormat="1" applyFont="1" applyFill="1" applyBorder="1" applyAlignment="1" applyProtection="1">
      <alignment horizontal="right"/>
      <protection locked="0"/>
    </xf>
    <xf numFmtId="0" fontId="2" fillId="16" borderId="53" xfId="10" applyFont="1" applyFill="1" applyBorder="1" applyProtection="1">
      <protection locked="0"/>
    </xf>
    <xf numFmtId="0" fontId="75" fillId="16" borderId="53" xfId="10" applyFont="1" applyFill="1" applyBorder="1" applyProtection="1">
      <protection locked="0"/>
    </xf>
    <xf numFmtId="0" fontId="77" fillId="16" borderId="53" xfId="10" applyFont="1" applyFill="1" applyBorder="1" applyAlignment="1" applyProtection="1">
      <alignment horizontal="centerContinuous"/>
      <protection locked="0"/>
    </xf>
    <xf numFmtId="0" fontId="2" fillId="16" borderId="52" xfId="10" applyFont="1" applyFill="1" applyBorder="1" applyProtection="1">
      <protection locked="0"/>
    </xf>
    <xf numFmtId="5" fontId="75" fillId="16" borderId="53" xfId="10" applyNumberFormat="1" applyFont="1" applyFill="1" applyBorder="1" applyProtection="1"/>
    <xf numFmtId="5" fontId="75" fillId="16" borderId="53" xfId="10" applyNumberFormat="1" applyFont="1" applyFill="1" applyBorder="1" applyAlignment="1" applyProtection="1">
      <alignment horizontal="right"/>
      <protection locked="0" hidden="1"/>
    </xf>
    <xf numFmtId="5" fontId="77" fillId="16" borderId="53" xfId="10" applyNumberFormat="1" applyFont="1" applyFill="1" applyBorder="1" applyAlignment="1" applyProtection="1">
      <alignment horizontal="right"/>
      <protection locked="0" hidden="1"/>
    </xf>
    <xf numFmtId="0" fontId="75" fillId="16" borderId="53" xfId="10" applyFont="1" applyFill="1" applyBorder="1" applyProtection="1">
      <protection locked="0" hidden="1"/>
    </xf>
    <xf numFmtId="37" fontId="75" fillId="16" borderId="53" xfId="10" applyNumberFormat="1" applyFont="1" applyFill="1" applyBorder="1" applyAlignment="1" applyProtection="1">
      <alignment horizontal="fill"/>
      <protection locked="0"/>
    </xf>
    <xf numFmtId="5" fontId="75" fillId="16" borderId="53" xfId="10" applyNumberFormat="1" applyFont="1" applyFill="1" applyBorder="1" applyProtection="1">
      <protection locked="0" hidden="1"/>
    </xf>
    <xf numFmtId="5" fontId="75" fillId="16" borderId="53" xfId="10" applyNumberFormat="1" applyFont="1" applyFill="1" applyBorder="1" applyProtection="1">
      <protection locked="0"/>
    </xf>
    <xf numFmtId="5" fontId="75" fillId="16" borderId="53" xfId="10" applyNumberFormat="1" applyFont="1" applyFill="1" applyBorder="1" applyAlignment="1" applyProtection="1">
      <alignment horizontal="fill"/>
      <protection locked="0"/>
    </xf>
    <xf numFmtId="37" fontId="75" fillId="16" borderId="53" xfId="10" applyNumberFormat="1" applyFont="1" applyFill="1" applyBorder="1" applyProtection="1">
      <protection locked="0"/>
    </xf>
    <xf numFmtId="10" fontId="75" fillId="16" borderId="53" xfId="10" applyNumberFormat="1" applyFont="1" applyFill="1" applyBorder="1" applyProtection="1"/>
    <xf numFmtId="0" fontId="2" fillId="16" borderId="54" xfId="10" applyFont="1" applyFill="1" applyBorder="1" applyProtection="1">
      <protection locked="0"/>
    </xf>
    <xf numFmtId="0" fontId="2" fillId="16" borderId="55" xfId="10" applyFont="1" applyFill="1" applyBorder="1" applyProtection="1">
      <protection locked="0"/>
    </xf>
    <xf numFmtId="0" fontId="2" fillId="16" borderId="56" xfId="10" applyFont="1" applyFill="1" applyBorder="1" applyProtection="1">
      <protection locked="0"/>
    </xf>
    <xf numFmtId="0" fontId="74" fillId="14" borderId="22" xfId="10" applyFont="1" applyFill="1" applyBorder="1" applyAlignment="1" applyProtection="1">
      <alignment horizontal="center"/>
    </xf>
    <xf numFmtId="0" fontId="74" fillId="16" borderId="0" xfId="10" applyFont="1" applyFill="1" applyBorder="1" applyAlignment="1" applyProtection="1">
      <alignment horizontal="center" wrapText="1"/>
      <protection locked="0"/>
    </xf>
    <xf numFmtId="37" fontId="74" fillId="16" borderId="0" xfId="10" applyNumberFormat="1" applyFont="1" applyFill="1" applyBorder="1" applyAlignment="1" applyProtection="1">
      <alignment horizontal="center"/>
      <protection locked="0"/>
    </xf>
    <xf numFmtId="37" fontId="74" fillId="16" borderId="0" xfId="10" applyNumberFormat="1" applyFont="1" applyFill="1" applyBorder="1" applyAlignment="1" applyProtection="1">
      <alignment horizontal="center" wrapText="1"/>
      <protection locked="0"/>
    </xf>
    <xf numFmtId="0" fontId="1" fillId="13" borderId="0" xfId="7" applyFont="1" applyFill="1" applyAlignment="1" applyProtection="1">
      <alignment horizontal="center"/>
      <protection locked="0"/>
    </xf>
    <xf numFmtId="0" fontId="2" fillId="17" borderId="57" xfId="10" applyFont="1" applyFill="1" applyBorder="1" applyProtection="1">
      <protection locked="0"/>
    </xf>
    <xf numFmtId="0" fontId="2" fillId="17" borderId="58" xfId="10" applyFont="1" applyFill="1" applyBorder="1" applyProtection="1">
      <protection locked="0"/>
    </xf>
    <xf numFmtId="0" fontId="2" fillId="17" borderId="58" xfId="7" applyFont="1" applyFill="1" applyBorder="1" applyAlignment="1" applyProtection="1">
      <protection locked="0"/>
    </xf>
    <xf numFmtId="0" fontId="2" fillId="17" borderId="59" xfId="10" applyFont="1" applyFill="1" applyBorder="1" applyProtection="1">
      <protection locked="0"/>
    </xf>
    <xf numFmtId="0" fontId="75" fillId="17" borderId="60" xfId="10" applyFont="1" applyFill="1" applyBorder="1" applyProtection="1">
      <protection locked="0"/>
    </xf>
    <xf numFmtId="0" fontId="75" fillId="17" borderId="0" xfId="10" applyFont="1" applyFill="1" applyBorder="1" applyProtection="1">
      <protection locked="0"/>
    </xf>
    <xf numFmtId="0" fontId="74" fillId="17" borderId="0" xfId="7" applyFont="1" applyFill="1" applyBorder="1" applyAlignment="1" applyProtection="1">
      <alignment horizontal="right"/>
      <protection locked="0"/>
    </xf>
    <xf numFmtId="0" fontId="75" fillId="17" borderId="0" xfId="7" applyFont="1" applyFill="1" applyBorder="1" applyAlignment="1" applyProtection="1">
      <alignment horizontal="right"/>
      <protection locked="0"/>
    </xf>
    <xf numFmtId="37" fontId="74" fillId="17" borderId="0" xfId="10" applyNumberFormat="1" applyFont="1" applyFill="1" applyBorder="1" applyAlignment="1" applyProtection="1">
      <alignment horizontal="left"/>
      <protection locked="0"/>
    </xf>
    <xf numFmtId="37" fontId="74" fillId="17" borderId="0" xfId="10" applyNumberFormat="1" applyFont="1" applyFill="1" applyBorder="1" applyAlignment="1" applyProtection="1">
      <alignment horizontal="right"/>
      <protection locked="0"/>
    </xf>
    <xf numFmtId="164" fontId="75" fillId="17" borderId="0" xfId="10" applyNumberFormat="1" applyFont="1" applyFill="1" applyBorder="1" applyAlignment="1" applyProtection="1">
      <protection locked="0"/>
    </xf>
    <xf numFmtId="0" fontId="2" fillId="17" borderId="61" xfId="10" applyFont="1" applyFill="1" applyBorder="1" applyProtection="1">
      <protection locked="0"/>
    </xf>
    <xf numFmtId="0" fontId="75" fillId="17" borderId="61" xfId="10" applyFont="1" applyFill="1" applyBorder="1" applyProtection="1">
      <protection locked="0"/>
    </xf>
    <xf numFmtId="0" fontId="75" fillId="17" borderId="0" xfId="10" applyFont="1" applyFill="1" applyBorder="1" applyAlignment="1" applyProtection="1">
      <alignment horizontal="centerContinuous"/>
      <protection locked="0"/>
    </xf>
    <xf numFmtId="37" fontId="74" fillId="17" borderId="0" xfId="10" applyNumberFormat="1" applyFont="1" applyFill="1" applyBorder="1" applyAlignment="1" applyProtection="1">
      <alignment horizontal="center"/>
      <protection locked="0"/>
    </xf>
    <xf numFmtId="0" fontId="74" fillId="17" borderId="0" xfId="10" applyFont="1" applyFill="1" applyBorder="1" applyAlignment="1" applyProtection="1">
      <alignment horizontal="center" wrapText="1"/>
      <protection locked="0"/>
    </xf>
    <xf numFmtId="0" fontId="74" fillId="17" borderId="0" xfId="10" applyFont="1" applyFill="1" applyBorder="1" applyAlignment="1" applyProtection="1">
      <alignment horizontal="center"/>
      <protection locked="0"/>
    </xf>
    <xf numFmtId="37" fontId="74" fillId="17" borderId="0" xfId="10" applyNumberFormat="1" applyFont="1" applyFill="1" applyBorder="1" applyAlignment="1" applyProtection="1">
      <alignment horizontal="center" wrapText="1"/>
      <protection locked="0"/>
    </xf>
    <xf numFmtId="37" fontId="75" fillId="17" borderId="0" xfId="10" applyNumberFormat="1" applyFont="1" applyFill="1" applyBorder="1" applyAlignment="1" applyProtection="1">
      <alignment horizontal="left"/>
      <protection locked="0"/>
    </xf>
    <xf numFmtId="0" fontId="77" fillId="17" borderId="61" xfId="10" applyFont="1" applyFill="1" applyBorder="1" applyAlignment="1" applyProtection="1">
      <alignment horizontal="centerContinuous"/>
      <protection locked="0"/>
    </xf>
    <xf numFmtId="0" fontId="74" fillId="17" borderId="10" xfId="10" applyFont="1" applyFill="1" applyBorder="1" applyAlignment="1" applyProtection="1">
      <alignment horizontal="center"/>
      <protection locked="0"/>
    </xf>
    <xf numFmtId="0" fontId="75" fillId="17" borderId="0" xfId="10" applyFont="1" applyFill="1" applyBorder="1" applyAlignment="1" applyProtection="1">
      <alignment horizontal="left"/>
      <protection locked="0"/>
    </xf>
    <xf numFmtId="0" fontId="2" fillId="17" borderId="0" xfId="10" applyFont="1" applyFill="1" applyBorder="1" applyProtection="1">
      <protection locked="0"/>
    </xf>
    <xf numFmtId="0" fontId="2" fillId="17" borderId="60" xfId="10" applyFont="1" applyFill="1" applyBorder="1" applyProtection="1">
      <protection locked="0"/>
    </xf>
    <xf numFmtId="0" fontId="75" fillId="17" borderId="0" xfId="10" applyFont="1" applyFill="1" applyBorder="1" applyAlignment="1" applyProtection="1">
      <alignment horizontal="right"/>
      <protection locked="0"/>
    </xf>
    <xf numFmtId="7" fontId="75" fillId="17" borderId="0" xfId="10" applyNumberFormat="1" applyFont="1" applyFill="1" applyBorder="1" applyProtection="1">
      <protection locked="0"/>
    </xf>
    <xf numFmtId="37" fontId="75" fillId="17" borderId="13" xfId="10" applyNumberFormat="1" applyFont="1" applyFill="1" applyBorder="1" applyProtection="1"/>
    <xf numFmtId="5" fontId="75" fillId="17" borderId="61" xfId="10" applyNumberFormat="1" applyFont="1" applyFill="1" applyBorder="1" applyProtection="1"/>
    <xf numFmtId="37" fontId="75" fillId="17" borderId="12" xfId="10" applyNumberFormat="1" applyFont="1" applyFill="1" applyBorder="1" applyProtection="1"/>
    <xf numFmtId="0" fontId="74" fillId="17" borderId="0" xfId="10" applyFont="1" applyFill="1" applyBorder="1" applyAlignment="1" applyProtection="1">
      <alignment horizontal="right"/>
      <protection locked="0"/>
    </xf>
    <xf numFmtId="37" fontId="75" fillId="17" borderId="20" xfId="10" applyNumberFormat="1" applyFont="1" applyFill="1" applyBorder="1" applyProtection="1"/>
    <xf numFmtId="0" fontId="74" fillId="17" borderId="0" xfId="10" applyFont="1" applyFill="1" applyBorder="1" applyAlignment="1" applyProtection="1">
      <alignment horizontal="centerContinuous" wrapText="1"/>
      <protection locked="0"/>
    </xf>
    <xf numFmtId="0" fontId="74" fillId="17" borderId="0" xfId="10" applyFont="1" applyFill="1" applyBorder="1" applyAlignment="1" applyProtection="1">
      <alignment horizontal="centerContinuous"/>
      <protection locked="0"/>
    </xf>
    <xf numFmtId="37" fontId="74" fillId="17" borderId="0" xfId="10" applyNumberFormat="1" applyFont="1" applyFill="1" applyBorder="1" applyAlignment="1" applyProtection="1">
      <alignment horizontal="left" wrapText="1"/>
      <protection locked="0"/>
    </xf>
    <xf numFmtId="0" fontId="75" fillId="17" borderId="0" xfId="10" applyFont="1" applyFill="1" applyBorder="1" applyAlignment="1" applyProtection="1">
      <alignment horizontal="center"/>
      <protection locked="0"/>
    </xf>
    <xf numFmtId="37" fontId="75" fillId="17" borderId="0" xfId="10" applyNumberFormat="1" applyFont="1" applyFill="1" applyBorder="1" applyAlignment="1" applyProtection="1">
      <alignment horizontal="right"/>
      <protection locked="0" hidden="1"/>
    </xf>
    <xf numFmtId="5" fontId="75" fillId="17" borderId="61" xfId="10" applyNumberFormat="1" applyFont="1" applyFill="1" applyBorder="1" applyAlignment="1" applyProtection="1">
      <alignment horizontal="right"/>
      <protection locked="0" hidden="1"/>
    </xf>
    <xf numFmtId="0" fontId="77" fillId="17" borderId="0" xfId="10" applyFont="1" applyFill="1" applyBorder="1" applyAlignment="1" applyProtection="1">
      <alignment horizontal="right"/>
      <protection locked="0"/>
    </xf>
    <xf numFmtId="37" fontId="74" fillId="17" borderId="10" xfId="10" applyNumberFormat="1" applyFont="1" applyFill="1" applyBorder="1" applyAlignment="1" applyProtection="1">
      <alignment horizontal="right"/>
      <protection locked="0" hidden="1"/>
    </xf>
    <xf numFmtId="5" fontId="77" fillId="17" borderId="61" xfId="10" applyNumberFormat="1" applyFont="1" applyFill="1" applyBorder="1" applyAlignment="1" applyProtection="1">
      <alignment horizontal="right"/>
      <protection locked="0" hidden="1"/>
    </xf>
    <xf numFmtId="0" fontId="75" fillId="17" borderId="0" xfId="10" applyFont="1" applyFill="1" applyBorder="1" applyProtection="1">
      <protection locked="0" hidden="1"/>
    </xf>
    <xf numFmtId="0" fontId="75" fillId="17" borderId="61" xfId="10" applyFont="1" applyFill="1" applyBorder="1" applyProtection="1">
      <protection locked="0" hidden="1"/>
    </xf>
    <xf numFmtId="37" fontId="75" fillId="17" borderId="0" xfId="10" applyNumberFormat="1" applyFont="1" applyFill="1" applyBorder="1" applyProtection="1">
      <protection locked="0"/>
    </xf>
    <xf numFmtId="37" fontId="75" fillId="17" borderId="19" xfId="10" applyNumberFormat="1" applyFont="1" applyFill="1" applyBorder="1" applyProtection="1"/>
    <xf numFmtId="37" fontId="75" fillId="17" borderId="10" xfId="10" applyNumberFormat="1" applyFont="1" applyFill="1" applyBorder="1" applyProtection="1">
      <protection locked="0"/>
    </xf>
    <xf numFmtId="37" fontId="75" fillId="17" borderId="0" xfId="10" applyNumberFormat="1" applyFont="1" applyFill="1" applyBorder="1" applyAlignment="1" applyProtection="1">
      <alignment horizontal="fill"/>
      <protection locked="0"/>
    </xf>
    <xf numFmtId="37" fontId="75" fillId="17" borderId="61" xfId="10" applyNumberFormat="1" applyFont="1" applyFill="1" applyBorder="1" applyAlignment="1" applyProtection="1">
      <alignment horizontal="fill"/>
      <protection locked="0"/>
    </xf>
    <xf numFmtId="173" fontId="75" fillId="17" borderId="21" xfId="3" applyNumberFormat="1" applyFont="1" applyFill="1" applyBorder="1" applyProtection="1"/>
    <xf numFmtId="5" fontId="75" fillId="17" borderId="61" xfId="10" applyNumberFormat="1" applyFont="1" applyFill="1" applyBorder="1" applyProtection="1">
      <protection locked="0" hidden="1"/>
    </xf>
    <xf numFmtId="5" fontId="75" fillId="17" borderId="0" xfId="10" applyNumberFormat="1" applyFont="1" applyFill="1" applyBorder="1" applyProtection="1">
      <protection locked="0" hidden="1"/>
    </xf>
    <xf numFmtId="5" fontId="75" fillId="17" borderId="61" xfId="10" applyNumberFormat="1" applyFont="1" applyFill="1" applyBorder="1" applyProtection="1">
      <protection locked="0"/>
    </xf>
    <xf numFmtId="5" fontId="75" fillId="17" borderId="0" xfId="10" applyNumberFormat="1" applyFont="1" applyFill="1" applyBorder="1" applyAlignment="1" applyProtection="1">
      <alignment horizontal="fill"/>
      <protection locked="0" hidden="1"/>
    </xf>
    <xf numFmtId="5" fontId="75" fillId="17" borderId="61" xfId="10" applyNumberFormat="1" applyFont="1" applyFill="1" applyBorder="1" applyAlignment="1" applyProtection="1">
      <alignment horizontal="fill"/>
      <protection locked="0"/>
    </xf>
    <xf numFmtId="37" fontId="75" fillId="17" borderId="61" xfId="10" applyNumberFormat="1" applyFont="1" applyFill="1" applyBorder="1" applyProtection="1">
      <protection locked="0"/>
    </xf>
    <xf numFmtId="5" fontId="75" fillId="17" borderId="18" xfId="10" applyNumberFormat="1" applyFont="1" applyFill="1" applyBorder="1" applyProtection="1"/>
    <xf numFmtId="10" fontId="75" fillId="17" borderId="61" xfId="10" applyNumberFormat="1" applyFont="1" applyFill="1" applyBorder="1" applyProtection="1"/>
    <xf numFmtId="0" fontId="2" fillId="17" borderId="62" xfId="10" applyFont="1" applyFill="1" applyBorder="1" applyProtection="1">
      <protection locked="0"/>
    </xf>
    <xf numFmtId="0" fontId="2" fillId="17" borderId="63" xfId="10" applyFont="1" applyFill="1" applyBorder="1" applyProtection="1">
      <protection locked="0"/>
    </xf>
    <xf numFmtId="0" fontId="2" fillId="17" borderId="64" xfId="10" applyFont="1" applyFill="1" applyBorder="1" applyProtection="1">
      <protection locked="0"/>
    </xf>
    <xf numFmtId="5" fontId="75" fillId="17" borderId="0" xfId="10" applyNumberFormat="1" applyFont="1" applyFill="1" applyBorder="1" applyProtection="1">
      <protection locked="0"/>
    </xf>
    <xf numFmtId="5" fontId="75" fillId="17" borderId="0" xfId="10" applyNumberFormat="1" applyFont="1" applyFill="1" applyBorder="1" applyProtection="1"/>
    <xf numFmtId="10" fontId="75" fillId="17" borderId="0" xfId="10" applyNumberFormat="1" applyFont="1" applyFill="1" applyBorder="1" applyProtection="1"/>
    <xf numFmtId="0" fontId="2" fillId="17" borderId="0" xfId="10" applyFont="1" applyFill="1" applyProtection="1">
      <protection locked="0"/>
    </xf>
    <xf numFmtId="0" fontId="75" fillId="17" borderId="10" xfId="10" applyFont="1" applyFill="1" applyBorder="1" applyProtection="1">
      <protection locked="0"/>
    </xf>
    <xf numFmtId="0" fontId="74" fillId="17" borderId="10" xfId="10" applyFont="1" applyFill="1" applyBorder="1" applyAlignment="1" applyProtection="1">
      <alignment horizontal="right"/>
      <protection locked="0"/>
    </xf>
    <xf numFmtId="0" fontId="75" fillId="14" borderId="13" xfId="10" applyFont="1" applyFill="1" applyBorder="1" applyProtection="1">
      <protection locked="0"/>
    </xf>
    <xf numFmtId="0" fontId="2" fillId="14" borderId="13" xfId="10" applyFont="1" applyFill="1" applyBorder="1" applyProtection="1">
      <protection locked="0"/>
    </xf>
    <xf numFmtId="0" fontId="2" fillId="17" borderId="0" xfId="10" applyFont="1" applyFill="1" applyBorder="1" applyProtection="1"/>
    <xf numFmtId="0" fontId="2" fillId="13" borderId="0" xfId="7" applyFont="1" applyFill="1" applyProtection="1">
      <protection locked="0"/>
    </xf>
    <xf numFmtId="0" fontId="10" fillId="13" borderId="0" xfId="7" applyFont="1" applyFill="1" applyAlignment="1" applyProtection="1">
      <alignment horizontal="center"/>
      <protection locked="0"/>
    </xf>
    <xf numFmtId="0" fontId="14" fillId="13" borderId="0" xfId="7" applyFont="1" applyFill="1" applyProtection="1">
      <protection locked="0"/>
    </xf>
    <xf numFmtId="0" fontId="14" fillId="13" borderId="0" xfId="7" applyFont="1" applyFill="1" applyAlignment="1" applyProtection="1">
      <alignment horizontal="left"/>
      <protection locked="0"/>
    </xf>
    <xf numFmtId="0" fontId="3" fillId="13" borderId="0" xfId="7" applyFont="1" applyFill="1" applyAlignment="1" applyProtection="1">
      <alignment horizontal="right" vertical="top" wrapText="1"/>
      <protection locked="0"/>
    </xf>
    <xf numFmtId="0" fontId="2" fillId="13" borderId="0" xfId="7" applyFont="1" applyFill="1" applyBorder="1" applyAlignment="1" applyProtection="1">
      <alignment horizontal="right"/>
      <protection locked="0"/>
    </xf>
    <xf numFmtId="0" fontId="14" fillId="13" borderId="0" xfId="7" applyFont="1" applyFill="1" applyBorder="1" applyProtection="1">
      <protection locked="0"/>
    </xf>
    <xf numFmtId="0" fontId="2" fillId="13" borderId="0" xfId="7" applyFont="1" applyFill="1" applyBorder="1" applyProtection="1">
      <protection locked="0"/>
    </xf>
    <xf numFmtId="37" fontId="14" fillId="13" borderId="0" xfId="7" applyNumberFormat="1" applyFont="1" applyFill="1" applyBorder="1" applyAlignment="1" applyProtection="1">
      <alignment horizontal="centerContinuous"/>
      <protection locked="0"/>
    </xf>
    <xf numFmtId="0" fontId="2" fillId="13" borderId="0" xfId="7" applyFont="1" applyFill="1" applyBorder="1" applyAlignment="1" applyProtection="1">
      <alignment horizontal="centerContinuous"/>
      <protection locked="0"/>
    </xf>
    <xf numFmtId="0" fontId="2" fillId="13" borderId="0" xfId="7" applyFont="1" applyFill="1" applyAlignment="1" applyProtection="1">
      <alignment horizontal="left"/>
      <protection locked="0"/>
    </xf>
    <xf numFmtId="5" fontId="14" fillId="13" borderId="0" xfId="7" applyNumberFormat="1" applyFont="1" applyFill="1" applyBorder="1" applyProtection="1">
      <protection locked="0"/>
    </xf>
    <xf numFmtId="0" fontId="10" fillId="13" borderId="0" xfId="10" applyFont="1" applyFill="1" applyBorder="1" applyProtection="1">
      <protection locked="0"/>
    </xf>
    <xf numFmtId="0" fontId="14" fillId="13" borderId="0" xfId="7" applyFont="1" applyFill="1" applyBorder="1" applyAlignment="1" applyProtection="1">
      <alignment horizontal="fill"/>
      <protection locked="0"/>
    </xf>
    <xf numFmtId="0" fontId="28" fillId="13" borderId="0" xfId="7" applyFont="1" applyFill="1" applyBorder="1" applyProtection="1">
      <protection locked="0"/>
    </xf>
    <xf numFmtId="0" fontId="1" fillId="13" borderId="0" xfId="7" applyFont="1" applyFill="1" applyProtection="1">
      <protection locked="0"/>
    </xf>
    <xf numFmtId="0" fontId="1" fillId="13" borderId="0" xfId="7" applyFont="1" applyFill="1" applyAlignment="1" applyProtection="1">
      <alignment horizontal="right"/>
      <protection locked="0"/>
    </xf>
    <xf numFmtId="0" fontId="1" fillId="13" borderId="0" xfId="7" applyFont="1" applyFill="1" applyBorder="1" applyAlignment="1" applyProtection="1">
      <alignment horizontal="right"/>
      <protection locked="0"/>
    </xf>
    <xf numFmtId="0" fontId="1" fillId="13" borderId="0" xfId="7" applyFont="1" applyFill="1" applyBorder="1" applyProtection="1">
      <protection locked="0"/>
    </xf>
    <xf numFmtId="0" fontId="25" fillId="13" borderId="0" xfId="7" applyFont="1" applyFill="1" applyBorder="1" applyAlignment="1" applyProtection="1">
      <alignment horizontal="left"/>
      <protection locked="0"/>
    </xf>
    <xf numFmtId="0" fontId="3" fillId="13" borderId="0" xfId="7" applyFont="1" applyFill="1" applyBorder="1" applyAlignment="1" applyProtection="1">
      <alignment horizontal="center"/>
      <protection locked="0"/>
    </xf>
    <xf numFmtId="0" fontId="1" fillId="13" borderId="0" xfId="7" applyFont="1" applyFill="1" applyBorder="1" applyAlignment="1" applyProtection="1">
      <protection locked="0"/>
    </xf>
    <xf numFmtId="0" fontId="1" fillId="13" borderId="0" xfId="7" applyFont="1" applyFill="1" applyBorder="1" applyAlignment="1" applyProtection="1">
      <alignment horizontal="center"/>
      <protection locked="0"/>
    </xf>
    <xf numFmtId="0" fontId="1" fillId="13" borderId="0" xfId="7" applyFont="1" applyFill="1" applyBorder="1" applyAlignment="1" applyProtection="1">
      <alignment horizontal="left"/>
      <protection locked="0"/>
    </xf>
    <xf numFmtId="0" fontId="1" fillId="16" borderId="0" xfId="7" applyFont="1" applyFill="1" applyProtection="1">
      <protection locked="0"/>
    </xf>
    <xf numFmtId="0" fontId="1" fillId="16" borderId="0" xfId="7" applyFont="1" applyFill="1" applyAlignment="1" applyProtection="1">
      <protection locked="0"/>
    </xf>
    <xf numFmtId="0" fontId="2" fillId="16" borderId="0" xfId="7" applyFont="1" applyFill="1" applyProtection="1">
      <protection locked="0"/>
    </xf>
    <xf numFmtId="0" fontId="28" fillId="16" borderId="0" xfId="7" applyFont="1" applyFill="1" applyBorder="1" applyProtection="1">
      <protection locked="0"/>
    </xf>
    <xf numFmtId="0" fontId="1" fillId="16" borderId="0" xfId="7" applyFont="1" applyFill="1" applyBorder="1" applyAlignment="1" applyProtection="1">
      <alignment horizontal="right"/>
      <protection locked="0"/>
    </xf>
    <xf numFmtId="0" fontId="1" fillId="16" borderId="0" xfId="7" applyFont="1" applyFill="1" applyBorder="1" applyProtection="1">
      <protection locked="0"/>
    </xf>
    <xf numFmtId="166" fontId="1" fillId="16" borderId="0" xfId="4" applyNumberFormat="1" applyFont="1" applyFill="1" applyBorder="1" applyProtection="1">
      <protection locked="0"/>
    </xf>
    <xf numFmtId="0" fontId="1" fillId="16" borderId="0" xfId="7" applyFont="1" applyFill="1" applyBorder="1" applyAlignment="1" applyProtection="1">
      <alignment horizontal="left"/>
      <protection locked="0"/>
    </xf>
    <xf numFmtId="165" fontId="1" fillId="14" borderId="13" xfId="4" applyNumberFormat="1" applyFont="1" applyFill="1" applyBorder="1" applyProtection="1">
      <protection locked="0"/>
    </xf>
    <xf numFmtId="3" fontId="1" fillId="14" borderId="13" xfId="7" applyNumberFormat="1" applyFont="1" applyFill="1" applyBorder="1" applyProtection="1">
      <protection locked="0"/>
    </xf>
    <xf numFmtId="0" fontId="1" fillId="14" borderId="13" xfId="7" applyFont="1" applyFill="1" applyBorder="1" applyProtection="1">
      <protection locked="0"/>
    </xf>
    <xf numFmtId="166" fontId="1" fillId="14" borderId="13" xfId="4" applyNumberFormat="1" applyFont="1" applyFill="1" applyBorder="1" applyProtection="1">
      <protection locked="0"/>
    </xf>
    <xf numFmtId="0" fontId="1" fillId="16" borderId="49" xfId="7" applyFont="1" applyFill="1" applyBorder="1" applyProtection="1">
      <protection locked="0"/>
    </xf>
    <xf numFmtId="0" fontId="3" fillId="16" borderId="50" xfId="7" applyFont="1" applyFill="1" applyBorder="1" applyAlignment="1" applyProtection="1">
      <alignment horizontal="center"/>
      <protection locked="0"/>
    </xf>
    <xf numFmtId="0" fontId="1" fillId="16" borderId="50" xfId="7" applyFont="1" applyFill="1" applyBorder="1" applyProtection="1">
      <protection locked="0"/>
    </xf>
    <xf numFmtId="0" fontId="1" fillId="16" borderId="50" xfId="7" applyFont="1" applyFill="1" applyBorder="1" applyAlignment="1" applyProtection="1">
      <protection locked="0"/>
    </xf>
    <xf numFmtId="0" fontId="2" fillId="16" borderId="51" xfId="7" applyFont="1" applyFill="1" applyBorder="1" applyProtection="1">
      <protection locked="0"/>
    </xf>
    <xf numFmtId="0" fontId="2" fillId="16" borderId="53" xfId="7" applyFont="1" applyFill="1" applyBorder="1" applyProtection="1">
      <protection locked="0"/>
    </xf>
    <xf numFmtId="0" fontId="1" fillId="16" borderId="52" xfId="7" applyFont="1" applyFill="1" applyBorder="1" applyProtection="1">
      <protection locked="0"/>
    </xf>
    <xf numFmtId="0" fontId="3" fillId="16" borderId="52" xfId="7" applyFont="1" applyFill="1" applyBorder="1" applyAlignment="1" applyProtection="1">
      <alignment horizontal="right" vertical="top" wrapText="1"/>
      <protection locked="0"/>
    </xf>
    <xf numFmtId="0" fontId="1" fillId="16" borderId="52" xfId="7" applyFont="1" applyFill="1" applyBorder="1" applyAlignment="1" applyProtection="1">
      <alignment horizontal="right"/>
      <protection locked="0"/>
    </xf>
    <xf numFmtId="0" fontId="1" fillId="16" borderId="54" xfId="7" applyFont="1" applyFill="1" applyBorder="1" applyAlignment="1" applyProtection="1">
      <alignment horizontal="right"/>
      <protection locked="0"/>
    </xf>
    <xf numFmtId="0" fontId="1" fillId="16" borderId="55" xfId="7" applyFont="1" applyFill="1" applyBorder="1" applyProtection="1">
      <protection locked="0"/>
    </xf>
    <xf numFmtId="166" fontId="1" fillId="16" borderId="55" xfId="4" applyNumberFormat="1" applyFont="1" applyFill="1" applyBorder="1" applyProtection="1">
      <protection locked="0"/>
    </xf>
    <xf numFmtId="0" fontId="2" fillId="16" borderId="56" xfId="7" applyFont="1" applyFill="1" applyBorder="1" applyProtection="1">
      <protection locked="0"/>
    </xf>
    <xf numFmtId="0" fontId="1" fillId="0" borderId="0" xfId="7" applyFont="1" applyProtection="1">
      <protection locked="0"/>
    </xf>
    <xf numFmtId="5" fontId="1" fillId="13" borderId="0" xfId="7" applyNumberFormat="1" applyFont="1" applyFill="1" applyAlignment="1" applyProtection="1">
      <alignment horizontal="right"/>
      <protection locked="0"/>
    </xf>
    <xf numFmtId="0" fontId="54" fillId="16" borderId="13" xfId="7" applyFont="1" applyFill="1" applyBorder="1" applyProtection="1">
      <protection locked="0"/>
    </xf>
    <xf numFmtId="0" fontId="54" fillId="16" borderId="52" xfId="7" applyFont="1" applyFill="1" applyBorder="1" applyProtection="1">
      <protection locked="0"/>
    </xf>
    <xf numFmtId="0" fontId="54" fillId="16" borderId="52" xfId="7" applyFont="1" applyFill="1" applyBorder="1" applyAlignment="1" applyProtection="1">
      <alignment horizontal="left"/>
      <protection locked="0"/>
    </xf>
    <xf numFmtId="0" fontId="2" fillId="16" borderId="0" xfId="7" applyFont="1" applyFill="1" applyBorder="1" applyProtection="1">
      <protection locked="0"/>
    </xf>
    <xf numFmtId="0" fontId="1" fillId="16" borderId="0" xfId="7" applyFont="1" applyFill="1" applyBorder="1" applyAlignment="1" applyProtection="1">
      <alignment horizontal="centerContinuous"/>
      <protection locked="0"/>
    </xf>
    <xf numFmtId="37" fontId="1" fillId="16" borderId="0" xfId="7" applyNumberFormat="1" applyFont="1" applyFill="1" applyAlignment="1" applyProtection="1">
      <alignment horizontal="center"/>
      <protection locked="0"/>
    </xf>
    <xf numFmtId="5" fontId="1" fillId="16" borderId="18" xfId="7" applyNumberFormat="1" applyFont="1" applyFill="1" applyBorder="1" applyProtection="1"/>
    <xf numFmtId="5" fontId="1" fillId="16" borderId="10" xfId="7" applyNumberFormat="1" applyFont="1" applyFill="1" applyBorder="1" applyProtection="1"/>
    <xf numFmtId="0" fontId="54" fillId="16" borderId="0" xfId="7" applyFont="1" applyFill="1" applyBorder="1" applyProtection="1">
      <protection locked="0"/>
    </xf>
    <xf numFmtId="0" fontId="54" fillId="16" borderId="0" xfId="7" applyFont="1" applyFill="1" applyBorder="1" applyProtection="1"/>
    <xf numFmtId="0" fontId="1" fillId="16" borderId="7" xfId="7" applyFont="1" applyFill="1" applyBorder="1" applyProtection="1">
      <protection locked="0"/>
    </xf>
    <xf numFmtId="0" fontId="1" fillId="16" borderId="17" xfId="7" applyFont="1" applyFill="1" applyBorder="1" applyProtection="1">
      <protection locked="0"/>
    </xf>
    <xf numFmtId="0" fontId="54" fillId="16" borderId="6" xfId="7" applyFont="1" applyFill="1" applyBorder="1" applyProtection="1">
      <protection locked="0"/>
    </xf>
    <xf numFmtId="0" fontId="54" fillId="16" borderId="16" xfId="7" applyFont="1" applyFill="1" applyBorder="1" applyAlignment="1" applyProtection="1">
      <alignment horizontal="center"/>
      <protection locked="0"/>
    </xf>
    <xf numFmtId="0" fontId="54" fillId="16" borderId="16" xfId="7" applyFont="1" applyFill="1" applyBorder="1" applyProtection="1">
      <protection locked="0"/>
    </xf>
    <xf numFmtId="0" fontId="54" fillId="16" borderId="16" xfId="7" applyFont="1" applyFill="1" applyBorder="1" applyProtection="1"/>
    <xf numFmtId="0" fontId="54" fillId="16" borderId="16" xfId="7" applyFont="1" applyFill="1" applyBorder="1" applyAlignment="1" applyProtection="1">
      <alignment horizontal="left"/>
      <protection locked="0"/>
    </xf>
    <xf numFmtId="0" fontId="54" fillId="16" borderId="9" xfId="7" applyFont="1" applyFill="1" applyBorder="1" applyAlignment="1" applyProtection="1">
      <alignment horizontal="left"/>
      <protection locked="0"/>
    </xf>
    <xf numFmtId="0" fontId="1" fillId="16" borderId="0" xfId="7" applyFont="1" applyFill="1" applyBorder="1" applyAlignment="1" applyProtection="1">
      <alignment horizontal="center"/>
      <protection locked="0"/>
    </xf>
    <xf numFmtId="0" fontId="1" fillId="16" borderId="0" xfId="7" applyFont="1" applyFill="1" applyBorder="1" applyAlignment="1" applyProtection="1">
      <alignment horizontal="fill"/>
      <protection locked="0"/>
    </xf>
    <xf numFmtId="0" fontId="28" fillId="16" borderId="0" xfId="7" applyFont="1" applyFill="1" applyBorder="1" applyAlignment="1" applyProtection="1">
      <alignment horizontal="centerContinuous"/>
      <protection locked="0"/>
    </xf>
    <xf numFmtId="0" fontId="3" fillId="16" borderId="13" xfId="7" applyFont="1" applyFill="1" applyBorder="1" applyAlignment="1" applyProtection="1">
      <alignment horizontal="right"/>
      <protection locked="0"/>
    </xf>
    <xf numFmtId="5" fontId="1" fillId="16" borderId="0" xfId="7" applyNumberFormat="1" applyFont="1" applyFill="1" applyBorder="1" applyProtection="1">
      <protection locked="0"/>
    </xf>
    <xf numFmtId="0" fontId="10" fillId="16" borderId="0" xfId="10" applyFont="1" applyFill="1" applyBorder="1" applyProtection="1">
      <protection locked="0"/>
    </xf>
    <xf numFmtId="5" fontId="1" fillId="16" borderId="0" xfId="7" applyNumberFormat="1" applyFont="1" applyFill="1" applyBorder="1" applyAlignment="1" applyProtection="1">
      <alignment horizontal="right"/>
      <protection locked="0"/>
    </xf>
    <xf numFmtId="5" fontId="1" fillId="16" borderId="0" xfId="7" applyNumberFormat="1" applyFont="1" applyFill="1" applyBorder="1" applyAlignment="1" applyProtection="1">
      <alignment horizontal="centerContinuous"/>
      <protection locked="0"/>
    </xf>
    <xf numFmtId="0" fontId="31" fillId="16" borderId="0" xfId="7" applyFont="1" applyFill="1" applyBorder="1" applyAlignment="1" applyProtection="1">
      <alignment horizontal="center"/>
      <protection locked="0"/>
    </xf>
    <xf numFmtId="0" fontId="14" fillId="16" borderId="0" xfId="7" applyFont="1" applyFill="1" applyBorder="1" applyAlignment="1" applyProtection="1">
      <alignment horizontal="centerContinuous"/>
      <protection locked="0"/>
    </xf>
    <xf numFmtId="0" fontId="32" fillId="16" borderId="0" xfId="7" applyFont="1" applyFill="1" applyBorder="1" applyAlignment="1" applyProtection="1">
      <alignment horizontal="centerContinuous"/>
      <protection locked="0"/>
    </xf>
    <xf numFmtId="7" fontId="14" fillId="16" borderId="0" xfId="7" applyNumberFormat="1" applyFont="1" applyFill="1" applyBorder="1" applyAlignment="1" applyProtection="1">
      <alignment horizontal="center"/>
      <protection locked="0"/>
    </xf>
    <xf numFmtId="5" fontId="14" fillId="16" borderId="0" xfId="7" applyNumberFormat="1" applyFont="1" applyFill="1" applyBorder="1" applyProtection="1">
      <protection locked="0"/>
    </xf>
    <xf numFmtId="0" fontId="14" fillId="16" borderId="0" xfId="7" applyNumberFormat="1" applyFont="1" applyFill="1" applyBorder="1" applyAlignment="1" applyProtection="1">
      <alignment horizontal="center"/>
      <protection locked="0"/>
    </xf>
    <xf numFmtId="0" fontId="14" fillId="16" borderId="0" xfId="7" applyFont="1" applyFill="1" applyBorder="1" applyAlignment="1" applyProtection="1">
      <alignment horizontal="fill"/>
      <protection locked="0"/>
    </xf>
    <xf numFmtId="0" fontId="10" fillId="16" borderId="49" xfId="10" applyFont="1" applyFill="1" applyBorder="1" applyProtection="1">
      <protection locked="0"/>
    </xf>
    <xf numFmtId="0" fontId="1" fillId="16" borderId="50" xfId="7" applyFont="1" applyFill="1" applyBorder="1" applyAlignment="1" applyProtection="1">
      <alignment horizontal="left"/>
      <protection locked="0"/>
    </xf>
    <xf numFmtId="0" fontId="1" fillId="16" borderId="50" xfId="7" applyFont="1" applyFill="1" applyBorder="1" applyAlignment="1" applyProtection="1">
      <alignment horizontal="centerContinuous"/>
      <protection locked="0"/>
    </xf>
    <xf numFmtId="0" fontId="1" fillId="16" borderId="50" xfId="7" applyFont="1" applyFill="1" applyBorder="1" applyAlignment="1" applyProtection="1">
      <alignment horizontal="fill"/>
      <protection locked="0"/>
    </xf>
    <xf numFmtId="0" fontId="2" fillId="16" borderId="52" xfId="7" applyFont="1" applyFill="1" applyBorder="1" applyProtection="1">
      <protection locked="0"/>
    </xf>
    <xf numFmtId="0" fontId="10" fillId="16" borderId="52" xfId="10" applyFont="1" applyFill="1" applyBorder="1" applyProtection="1">
      <protection locked="0"/>
    </xf>
    <xf numFmtId="0" fontId="2" fillId="16" borderId="54" xfId="7" applyFont="1" applyFill="1" applyBorder="1" applyProtection="1">
      <protection locked="0"/>
    </xf>
    <xf numFmtId="0" fontId="2" fillId="16" borderId="55" xfId="7" applyFont="1" applyFill="1" applyBorder="1" applyProtection="1">
      <protection locked="0"/>
    </xf>
    <xf numFmtId="0" fontId="3" fillId="16" borderId="52" xfId="10" applyFont="1" applyFill="1" applyBorder="1" applyProtection="1">
      <protection locked="0"/>
    </xf>
    <xf numFmtId="0" fontId="3" fillId="14" borderId="13" xfId="7" applyFont="1" applyFill="1" applyBorder="1" applyAlignment="1" applyProtection="1">
      <alignment horizontal="center"/>
    </xf>
    <xf numFmtId="0" fontId="3" fillId="16" borderId="52" xfId="7" applyFont="1" applyFill="1" applyBorder="1" applyProtection="1">
      <protection locked="0"/>
    </xf>
    <xf numFmtId="0" fontId="54" fillId="16" borderId="0" xfId="7" applyFont="1" applyFill="1" applyBorder="1" applyAlignment="1" applyProtection="1">
      <alignment horizontal="center"/>
      <protection locked="0"/>
    </xf>
    <xf numFmtId="7" fontId="54" fillId="14" borderId="20" xfId="7" applyNumberFormat="1" applyFont="1" applyFill="1" applyBorder="1" applyProtection="1">
      <protection locked="0"/>
    </xf>
    <xf numFmtId="7" fontId="54" fillId="14" borderId="13" xfId="7" applyNumberFormat="1" applyFont="1" applyFill="1" applyBorder="1" applyProtection="1">
      <protection locked="0"/>
    </xf>
    <xf numFmtId="37" fontId="54" fillId="16" borderId="0" xfId="7" applyNumberFormat="1" applyFont="1" applyFill="1" applyBorder="1" applyAlignment="1" applyProtection="1">
      <alignment horizontal="fill"/>
      <protection locked="0"/>
    </xf>
    <xf numFmtId="5" fontId="54" fillId="16" borderId="0" xfId="7" applyNumberFormat="1" applyFont="1" applyFill="1" applyBorder="1" applyAlignment="1" applyProtection="1">
      <alignment horizontal="right"/>
      <protection locked="0"/>
    </xf>
    <xf numFmtId="5" fontId="54" fillId="16" borderId="0" xfId="7" applyNumberFormat="1" applyFont="1" applyFill="1" applyBorder="1" applyProtection="1">
      <protection locked="0"/>
    </xf>
    <xf numFmtId="0" fontId="54" fillId="16" borderId="0" xfId="7" applyFont="1" applyFill="1" applyBorder="1" applyAlignment="1" applyProtection="1">
      <alignment horizontal="left"/>
      <protection locked="0"/>
    </xf>
    <xf numFmtId="37" fontId="54" fillId="16" borderId="0" xfId="7" applyNumberFormat="1" applyFont="1" applyFill="1" applyBorder="1" applyProtection="1">
      <protection locked="0"/>
    </xf>
    <xf numFmtId="0" fontId="54" fillId="16" borderId="0" xfId="7" applyFont="1" applyFill="1" applyBorder="1" applyAlignment="1" applyProtection="1">
      <alignment horizontal="centerContinuous"/>
      <protection locked="0"/>
    </xf>
    <xf numFmtId="5" fontId="54" fillId="16" borderId="0" xfId="7" applyNumberFormat="1" applyFont="1" applyFill="1" applyBorder="1" applyAlignment="1" applyProtection="1">
      <alignment horizontal="centerContinuous"/>
      <protection locked="0"/>
    </xf>
    <xf numFmtId="5" fontId="54" fillId="16" borderId="0" xfId="7" applyNumberFormat="1" applyFont="1" applyFill="1" applyBorder="1" applyAlignment="1" applyProtection="1">
      <alignment horizontal="center"/>
      <protection locked="0"/>
    </xf>
    <xf numFmtId="0" fontId="16" fillId="13" borderId="0" xfId="7" applyFont="1" applyFill="1" applyProtection="1">
      <protection locked="0"/>
    </xf>
    <xf numFmtId="0" fontId="16" fillId="13" borderId="0" xfId="7" applyFont="1" applyFill="1" applyAlignment="1" applyProtection="1">
      <alignment horizontal="left"/>
      <protection locked="0"/>
    </xf>
    <xf numFmtId="0" fontId="16" fillId="13" borderId="0" xfId="7" applyFont="1" applyFill="1" applyBorder="1" applyProtection="1">
      <protection locked="0"/>
    </xf>
    <xf numFmtId="0" fontId="16" fillId="13" borderId="0" xfId="7" applyFont="1" applyFill="1" applyBorder="1" applyAlignment="1" applyProtection="1">
      <alignment horizontal="center"/>
      <protection locked="0"/>
    </xf>
    <xf numFmtId="0" fontId="20" fillId="13" borderId="0" xfId="7" applyFont="1" applyFill="1" applyAlignment="1" applyProtection="1">
      <alignment horizontal="center"/>
      <protection locked="0"/>
    </xf>
    <xf numFmtId="37" fontId="35" fillId="13" borderId="0" xfId="7" applyNumberFormat="1" applyFont="1" applyFill="1" applyBorder="1" applyAlignment="1" applyProtection="1">
      <alignment horizontal="left"/>
      <protection locked="0"/>
    </xf>
    <xf numFmtId="37" fontId="35" fillId="13" borderId="0" xfId="7" applyNumberFormat="1" applyFont="1" applyFill="1" applyBorder="1" applyAlignment="1" applyProtection="1">
      <alignment horizontal="centerContinuous"/>
      <protection locked="0"/>
    </xf>
    <xf numFmtId="0" fontId="16" fillId="13" borderId="0" xfId="7" applyFont="1" applyFill="1" applyBorder="1" applyAlignment="1" applyProtection="1">
      <alignment horizontal="centerContinuous"/>
      <protection locked="0"/>
    </xf>
    <xf numFmtId="49" fontId="16" fillId="13" borderId="0" xfId="7" applyNumberFormat="1" applyFont="1" applyFill="1" applyAlignment="1" applyProtection="1">
      <alignment horizontal="left"/>
      <protection locked="0"/>
    </xf>
    <xf numFmtId="0" fontId="35" fillId="13" borderId="0" xfId="7" applyFont="1" applyFill="1" applyBorder="1" applyAlignment="1" applyProtection="1">
      <alignment horizontal="left"/>
      <protection locked="0"/>
    </xf>
    <xf numFmtId="0" fontId="35" fillId="13" borderId="0" xfId="7" applyFont="1" applyFill="1" applyAlignment="1" applyProtection="1">
      <alignment horizontal="left"/>
      <protection locked="0"/>
    </xf>
    <xf numFmtId="0" fontId="16" fillId="13" borderId="0" xfId="7" applyFont="1" applyFill="1" applyBorder="1" applyAlignment="1" applyProtection="1">
      <alignment horizontal="left"/>
      <protection locked="0"/>
    </xf>
    <xf numFmtId="0" fontId="4" fillId="13" borderId="0" xfId="7" applyFont="1" applyFill="1" applyBorder="1" applyProtection="1">
      <protection locked="0"/>
    </xf>
    <xf numFmtId="5" fontId="56" fillId="13" borderId="0" xfId="7" applyNumberFormat="1" applyFont="1" applyFill="1" applyBorder="1" applyAlignment="1" applyProtection="1">
      <alignment horizontal="right"/>
      <protection locked="0"/>
    </xf>
    <xf numFmtId="0" fontId="17" fillId="13" borderId="0" xfId="7" applyFont="1" applyFill="1" applyBorder="1" applyAlignment="1" applyProtection="1">
      <alignment horizontal="center"/>
      <protection locked="0"/>
    </xf>
    <xf numFmtId="37" fontId="16" fillId="13" borderId="0" xfId="7" applyNumberFormat="1" applyFont="1" applyFill="1" applyBorder="1" applyAlignment="1" applyProtection="1">
      <alignment horizontal="center"/>
      <protection locked="0"/>
    </xf>
    <xf numFmtId="37" fontId="35" fillId="13" borderId="0" xfId="7" applyNumberFormat="1" applyFont="1" applyFill="1" applyBorder="1" applyAlignment="1" applyProtection="1">
      <alignment horizontal="center"/>
      <protection locked="0"/>
    </xf>
    <xf numFmtId="0" fontId="16" fillId="16" borderId="0" xfId="7" applyFont="1" applyFill="1" applyBorder="1" applyAlignment="1" applyProtection="1">
      <alignment horizontal="centerContinuous"/>
      <protection locked="0"/>
    </xf>
    <xf numFmtId="0" fontId="16" fillId="16" borderId="0" xfId="7" applyFont="1" applyFill="1" applyBorder="1" applyProtection="1">
      <protection locked="0"/>
    </xf>
    <xf numFmtId="0" fontId="35" fillId="16" borderId="0" xfId="7" applyFont="1" applyFill="1" applyBorder="1" applyProtection="1">
      <protection locked="0"/>
    </xf>
    <xf numFmtId="0" fontId="35" fillId="16" borderId="0" xfId="7" applyFont="1" applyFill="1" applyBorder="1" applyAlignment="1" applyProtection="1">
      <alignment horizontal="centerContinuous"/>
      <protection locked="0"/>
    </xf>
    <xf numFmtId="5" fontId="35" fillId="16" borderId="0" xfId="7" applyNumberFormat="1" applyFont="1" applyFill="1" applyBorder="1" applyProtection="1">
      <protection locked="0"/>
    </xf>
    <xf numFmtId="0" fontId="37" fillId="16" borderId="0" xfId="7" applyFont="1" applyFill="1" applyBorder="1" applyAlignment="1" applyProtection="1">
      <alignment horizontal="centerContinuous"/>
      <protection locked="0"/>
    </xf>
    <xf numFmtId="5" fontId="35" fillId="16" borderId="0" xfId="7" applyNumberFormat="1" applyFont="1" applyFill="1" applyBorder="1" applyAlignment="1" applyProtection="1">
      <alignment horizontal="centerContinuous"/>
      <protection locked="0"/>
    </xf>
    <xf numFmtId="0" fontId="16" fillId="16" borderId="0" xfId="7" applyFont="1" applyFill="1" applyBorder="1" applyAlignment="1" applyProtection="1">
      <alignment horizontal="left"/>
      <protection locked="0"/>
    </xf>
    <xf numFmtId="7" fontId="35" fillId="16" borderId="0" xfId="7" applyNumberFormat="1" applyFont="1" applyFill="1" applyBorder="1" applyAlignment="1" applyProtection="1">
      <alignment horizontal="center"/>
      <protection locked="0"/>
    </xf>
    <xf numFmtId="0" fontId="35" fillId="16" borderId="0" xfId="7" applyNumberFormat="1" applyFont="1" applyFill="1" applyBorder="1" applyAlignment="1" applyProtection="1">
      <alignment horizontal="center"/>
      <protection locked="0"/>
    </xf>
    <xf numFmtId="0" fontId="35" fillId="16" borderId="0" xfId="7" applyFont="1" applyFill="1" applyBorder="1" applyAlignment="1" applyProtection="1">
      <alignment horizontal="fill"/>
      <protection locked="0"/>
    </xf>
    <xf numFmtId="0" fontId="35" fillId="16" borderId="23" xfId="7" applyFont="1" applyFill="1" applyBorder="1" applyProtection="1">
      <protection locked="0"/>
    </xf>
    <xf numFmtId="0" fontId="35" fillId="16" borderId="24" xfId="7" applyFont="1" applyFill="1" applyBorder="1" applyProtection="1">
      <protection locked="0"/>
    </xf>
    <xf numFmtId="0" fontId="20" fillId="16" borderId="0" xfId="7" applyFont="1" applyFill="1" applyBorder="1" applyAlignment="1" applyProtection="1">
      <alignment horizontal="left"/>
      <protection locked="0"/>
    </xf>
    <xf numFmtId="0" fontId="16" fillId="16" borderId="0" xfId="7" applyFont="1" applyFill="1" applyBorder="1" applyAlignment="1" applyProtection="1">
      <alignment horizontal="center"/>
      <protection locked="0"/>
    </xf>
    <xf numFmtId="0" fontId="16" fillId="16" borderId="25" xfId="7" applyFont="1" applyFill="1" applyBorder="1" applyProtection="1">
      <protection locked="0"/>
    </xf>
    <xf numFmtId="5" fontId="16" fillId="16" borderId="0" xfId="7" applyNumberFormat="1" applyFont="1" applyFill="1" applyBorder="1" applyAlignment="1" applyProtection="1">
      <alignment horizontal="right"/>
      <protection locked="0"/>
    </xf>
    <xf numFmtId="5" fontId="16" fillId="14" borderId="13" xfId="7" applyNumberFormat="1" applyFont="1" applyFill="1" applyBorder="1" applyProtection="1">
      <protection locked="0"/>
    </xf>
    <xf numFmtId="37" fontId="35" fillId="16" borderId="49" xfId="7" applyNumberFormat="1" applyFont="1" applyFill="1" applyBorder="1" applyAlignment="1" applyProtection="1">
      <alignment horizontal="left"/>
      <protection locked="0"/>
    </xf>
    <xf numFmtId="37" fontId="35" fillId="16" borderId="50" xfId="7" applyNumberFormat="1" applyFont="1" applyFill="1" applyBorder="1" applyAlignment="1" applyProtection="1">
      <alignment horizontal="centerContinuous"/>
      <protection locked="0"/>
    </xf>
    <xf numFmtId="0" fontId="16" fillId="16" borderId="50" xfId="7" applyFont="1" applyFill="1" applyBorder="1" applyAlignment="1" applyProtection="1">
      <alignment horizontal="centerContinuous"/>
      <protection locked="0"/>
    </xf>
    <xf numFmtId="0" fontId="16" fillId="16" borderId="50" xfId="7" applyFont="1" applyFill="1" applyBorder="1" applyProtection="1">
      <protection locked="0"/>
    </xf>
    <xf numFmtId="0" fontId="16" fillId="16" borderId="51" xfId="7" applyFont="1" applyFill="1" applyBorder="1" applyProtection="1">
      <protection locked="0"/>
    </xf>
    <xf numFmtId="0" fontId="16" fillId="16" borderId="53" xfId="7" applyFont="1" applyFill="1" applyBorder="1" applyProtection="1">
      <protection locked="0"/>
    </xf>
    <xf numFmtId="0" fontId="16" fillId="16" borderId="52" xfId="7" applyFont="1" applyFill="1" applyBorder="1" applyAlignment="1" applyProtection="1">
      <alignment horizontal="left"/>
      <protection locked="0"/>
    </xf>
    <xf numFmtId="37" fontId="35" fillId="16" borderId="0" xfId="7" applyNumberFormat="1" applyFont="1" applyFill="1" applyBorder="1" applyProtection="1">
      <protection locked="0"/>
    </xf>
    <xf numFmtId="37" fontId="16" fillId="16" borderId="0" xfId="7" applyNumberFormat="1" applyFont="1" applyFill="1" applyBorder="1" applyAlignment="1" applyProtection="1">
      <alignment horizontal="right"/>
      <protection locked="0"/>
    </xf>
    <xf numFmtId="0" fontId="35" fillId="16" borderId="52" xfId="7" applyFont="1" applyFill="1" applyBorder="1" applyAlignment="1" applyProtection="1">
      <alignment horizontal="left"/>
      <protection locked="0"/>
    </xf>
    <xf numFmtId="0" fontId="36" fillId="16" borderId="0" xfId="7" applyFont="1" applyFill="1" applyBorder="1" applyAlignment="1" applyProtection="1">
      <alignment horizontal="right"/>
      <protection locked="0"/>
    </xf>
    <xf numFmtId="5" fontId="35" fillId="16" borderId="0" xfId="7" applyNumberFormat="1" applyFont="1" applyFill="1" applyBorder="1" applyAlignment="1" applyProtection="1">
      <alignment horizontal="center"/>
      <protection locked="0"/>
    </xf>
    <xf numFmtId="0" fontId="16" fillId="16" borderId="52" xfId="7" applyFont="1" applyFill="1" applyBorder="1" applyProtection="1">
      <protection locked="0"/>
    </xf>
    <xf numFmtId="0" fontId="16" fillId="16" borderId="0" xfId="7" applyFont="1" applyFill="1" applyBorder="1" applyAlignment="1" applyProtection="1">
      <alignment horizontal="right"/>
      <protection locked="0"/>
    </xf>
    <xf numFmtId="0" fontId="17" fillId="16" borderId="0" xfId="7" applyFont="1" applyFill="1" applyBorder="1" applyProtection="1">
      <protection locked="0"/>
    </xf>
    <xf numFmtId="0" fontId="16" fillId="16" borderId="54" xfId="7" applyFont="1" applyFill="1" applyBorder="1" applyAlignment="1" applyProtection="1">
      <alignment horizontal="left"/>
      <protection locked="0"/>
    </xf>
    <xf numFmtId="0" fontId="16" fillId="16" borderId="55" xfId="7" applyFont="1" applyFill="1" applyBorder="1" applyProtection="1">
      <protection locked="0"/>
    </xf>
    <xf numFmtId="0" fontId="35" fillId="16" borderId="55" xfId="7" applyFont="1" applyFill="1" applyBorder="1" applyAlignment="1" applyProtection="1">
      <alignment horizontal="left"/>
      <protection locked="0"/>
    </xf>
    <xf numFmtId="5" fontId="35" fillId="16" borderId="55" xfId="7" applyNumberFormat="1" applyFont="1" applyFill="1" applyBorder="1" applyProtection="1">
      <protection locked="0"/>
    </xf>
    <xf numFmtId="0" fontId="16" fillId="16" borderId="56" xfId="7" applyFont="1" applyFill="1" applyBorder="1" applyProtection="1">
      <protection locked="0"/>
    </xf>
    <xf numFmtId="0" fontId="17" fillId="16" borderId="0" xfId="7" applyFont="1" applyFill="1" applyBorder="1" applyAlignment="1" applyProtection="1">
      <alignment horizontal="left"/>
      <protection locked="0"/>
    </xf>
    <xf numFmtId="5" fontId="16" fillId="16" borderId="0" xfId="7" applyNumberFormat="1" applyFont="1" applyFill="1" applyBorder="1" applyProtection="1"/>
    <xf numFmtId="5" fontId="16" fillId="16" borderId="18" xfId="7" applyNumberFormat="1" applyFont="1" applyFill="1" applyBorder="1" applyProtection="1"/>
    <xf numFmtId="0" fontId="4" fillId="13" borderId="0" xfId="10" applyFont="1" applyFill="1" applyBorder="1" applyProtection="1">
      <protection hidden="1"/>
    </xf>
    <xf numFmtId="0" fontId="16" fillId="16" borderId="52" xfId="7" applyNumberFormat="1" applyFont="1" applyFill="1" applyBorder="1" applyAlignment="1" applyProtection="1">
      <alignment horizontal="left"/>
      <protection locked="0"/>
    </xf>
    <xf numFmtId="37" fontId="14" fillId="13" borderId="0" xfId="7" applyNumberFormat="1" applyFont="1" applyFill="1" applyBorder="1" applyAlignment="1" applyProtection="1">
      <alignment horizontal="center"/>
      <protection locked="0"/>
    </xf>
    <xf numFmtId="0" fontId="26" fillId="13" borderId="0" xfId="7" applyFont="1" applyFill="1" applyAlignment="1" applyProtection="1">
      <alignment horizontal="left"/>
      <protection locked="0"/>
    </xf>
    <xf numFmtId="0" fontId="10" fillId="13" borderId="0" xfId="7" applyNumberFormat="1" applyFont="1" applyFill="1" applyAlignment="1" applyProtection="1">
      <alignment horizontal="center"/>
      <protection locked="0"/>
    </xf>
    <xf numFmtId="0" fontId="3" fillId="13" borderId="0" xfId="7" applyFont="1" applyFill="1" applyBorder="1" applyAlignment="1" applyProtection="1">
      <alignment horizontal="right"/>
      <protection locked="0"/>
    </xf>
    <xf numFmtId="0" fontId="1" fillId="13" borderId="0" xfId="7" applyFont="1" applyFill="1" applyBorder="1" applyProtection="1"/>
    <xf numFmtId="0" fontId="1" fillId="13" borderId="0" xfId="7" applyFont="1" applyFill="1" applyBorder="1" applyAlignment="1" applyProtection="1">
      <alignment horizontal="right"/>
    </xf>
    <xf numFmtId="0" fontId="1" fillId="13" borderId="0" xfId="7" applyFont="1" applyFill="1" applyBorder="1" applyAlignment="1" applyProtection="1">
      <alignment horizontal="fill"/>
    </xf>
    <xf numFmtId="0" fontId="11" fillId="16" borderId="0" xfId="7" applyFont="1" applyFill="1" applyBorder="1" applyProtection="1">
      <protection locked="0"/>
    </xf>
    <xf numFmtId="0" fontId="3" fillId="16" borderId="0" xfId="7" applyFont="1" applyFill="1" applyBorder="1" applyAlignment="1" applyProtection="1">
      <alignment horizontal="center"/>
      <protection locked="0"/>
    </xf>
    <xf numFmtId="0" fontId="54" fillId="14" borderId="20" xfId="7" applyFont="1" applyFill="1" applyBorder="1" applyAlignment="1" applyProtection="1">
      <alignment horizontal="centerContinuous"/>
      <protection locked="0"/>
    </xf>
    <xf numFmtId="0" fontId="54" fillId="16" borderId="0" xfId="7" applyFont="1" applyFill="1" applyBorder="1" applyAlignment="1" applyProtection="1">
      <alignment horizontal="centerContinuous"/>
    </xf>
    <xf numFmtId="7" fontId="54" fillId="14" borderId="20" xfId="7" applyNumberFormat="1" applyFont="1" applyFill="1" applyBorder="1" applyAlignment="1" applyProtection="1">
      <alignment horizontal="right"/>
      <protection locked="0"/>
    </xf>
    <xf numFmtId="0" fontId="54" fillId="14" borderId="13" xfId="7" applyFont="1" applyFill="1" applyBorder="1" applyAlignment="1" applyProtection="1">
      <alignment horizontal="centerContinuous"/>
      <protection locked="0"/>
    </xf>
    <xf numFmtId="7" fontId="54" fillId="14" borderId="13" xfId="7" applyNumberFormat="1" applyFont="1" applyFill="1" applyBorder="1" applyAlignment="1" applyProtection="1">
      <alignment horizontal="right"/>
      <protection locked="0"/>
    </xf>
    <xf numFmtId="5" fontId="54" fillId="16" borderId="0" xfId="7" applyNumberFormat="1" applyFont="1" applyFill="1" applyBorder="1" applyProtection="1"/>
    <xf numFmtId="0" fontId="54" fillId="16" borderId="15" xfId="7" applyNumberFormat="1" applyFont="1" applyFill="1" applyBorder="1" applyAlignment="1" applyProtection="1">
      <alignment horizontal="center"/>
    </xf>
    <xf numFmtId="0" fontId="54" fillId="16" borderId="10" xfId="7" applyNumberFormat="1" applyFont="1" applyFill="1" applyBorder="1" applyAlignment="1" applyProtection="1">
      <alignment horizontal="center"/>
    </xf>
    <xf numFmtId="7" fontId="54" fillId="16" borderId="10" xfId="7" applyNumberFormat="1" applyFont="1" applyFill="1" applyBorder="1" applyAlignment="1" applyProtection="1">
      <alignment horizontal="centerContinuous"/>
      <protection locked="0"/>
    </xf>
    <xf numFmtId="5" fontId="54" fillId="16" borderId="10" xfId="7" applyNumberFormat="1" applyFont="1" applyFill="1" applyBorder="1" applyProtection="1">
      <protection locked="0"/>
    </xf>
    <xf numFmtId="0" fontId="54" fillId="14" borderId="14" xfId="7" applyFont="1" applyFill="1" applyBorder="1" applyAlignment="1" applyProtection="1">
      <alignment horizontal="centerContinuous"/>
      <protection locked="0"/>
    </xf>
    <xf numFmtId="0" fontId="54" fillId="16" borderId="16" xfId="7" applyFont="1" applyFill="1" applyBorder="1" applyAlignment="1" applyProtection="1">
      <alignment horizontal="centerContinuous"/>
    </xf>
    <xf numFmtId="7" fontId="54" fillId="16" borderId="0" xfId="7" applyNumberFormat="1" applyFont="1" applyFill="1" applyBorder="1" applyAlignment="1" applyProtection="1">
      <alignment horizontal="right"/>
    </xf>
    <xf numFmtId="0" fontId="54" fillId="16" borderId="10" xfId="7" applyFont="1" applyFill="1" applyBorder="1" applyProtection="1"/>
    <xf numFmtId="5" fontId="54" fillId="16" borderId="10" xfId="7" applyNumberFormat="1" applyFont="1" applyFill="1" applyBorder="1" applyProtection="1"/>
    <xf numFmtId="9" fontId="54" fillId="14" borderId="13" xfId="11" applyNumberFormat="1" applyFont="1" applyFill="1" applyBorder="1" applyAlignment="1" applyProtection="1">
      <protection locked="0"/>
    </xf>
    <xf numFmtId="37" fontId="14" fillId="16" borderId="49" xfId="7" applyNumberFormat="1" applyFont="1" applyFill="1" applyBorder="1" applyAlignment="1" applyProtection="1">
      <alignment horizontal="centerContinuous"/>
      <protection locked="0"/>
    </xf>
    <xf numFmtId="0" fontId="2" fillId="16" borderId="50" xfId="7" applyFont="1" applyFill="1" applyBorder="1" applyAlignment="1" applyProtection="1">
      <alignment horizontal="centerContinuous"/>
      <protection locked="0"/>
    </xf>
    <xf numFmtId="0" fontId="28" fillId="16" borderId="50" xfId="7" applyFont="1" applyFill="1" applyBorder="1" applyAlignment="1" applyProtection="1">
      <alignment horizontal="centerContinuous"/>
      <protection locked="0"/>
    </xf>
    <xf numFmtId="0" fontId="2" fillId="16" borderId="50" xfId="7" applyFont="1" applyFill="1" applyBorder="1" applyProtection="1">
      <protection locked="0"/>
    </xf>
    <xf numFmtId="0" fontId="3" fillId="16" borderId="52" xfId="7" applyFont="1" applyFill="1" applyBorder="1" applyAlignment="1" applyProtection="1">
      <alignment horizontal="right"/>
      <protection locked="0"/>
    </xf>
    <xf numFmtId="0" fontId="2" fillId="16" borderId="52" xfId="7" applyFont="1" applyFill="1" applyBorder="1" applyAlignment="1" applyProtection="1">
      <alignment horizontal="right"/>
      <protection locked="0"/>
    </xf>
    <xf numFmtId="7" fontId="54" fillId="16" borderId="0" xfId="7" applyNumberFormat="1" applyFont="1" applyFill="1" applyBorder="1" applyProtection="1">
      <protection locked="0"/>
    </xf>
    <xf numFmtId="0" fontId="15" fillId="16" borderId="0" xfId="7" applyFont="1" applyFill="1" applyBorder="1" applyAlignment="1" applyProtection="1">
      <alignment horizontal="right"/>
      <protection locked="0"/>
    </xf>
    <xf numFmtId="0" fontId="14" fillId="13" borderId="0" xfId="10" applyFont="1" applyFill="1" applyAlignment="1" applyProtection="1">
      <alignment horizontal="right"/>
      <protection locked="0"/>
    </xf>
    <xf numFmtId="0" fontId="3" fillId="13" borderId="0" xfId="10" applyFont="1" applyFill="1" applyProtection="1">
      <protection locked="0"/>
    </xf>
    <xf numFmtId="0" fontId="2" fillId="13" borderId="0" xfId="10" applyFont="1" applyFill="1" applyAlignment="1" applyProtection="1">
      <alignment horizontal="centerContinuous"/>
      <protection locked="0"/>
    </xf>
    <xf numFmtId="0" fontId="14" fillId="13" borderId="0" xfId="10" applyFont="1" applyFill="1" applyAlignment="1" applyProtection="1">
      <alignment horizontal="centerContinuous"/>
      <protection locked="0"/>
    </xf>
    <xf numFmtId="5" fontId="32" fillId="13" borderId="0" xfId="5" applyFont="1" applyFill="1" applyBorder="1" applyProtection="1">
      <protection locked="0"/>
    </xf>
    <xf numFmtId="37" fontId="32" fillId="13" borderId="0" xfId="10" applyNumberFormat="1" applyFont="1" applyFill="1" applyBorder="1" applyProtection="1">
      <protection locked="0"/>
    </xf>
    <xf numFmtId="0" fontId="1" fillId="13" borderId="0" xfId="10" applyFont="1" applyFill="1" applyProtection="1">
      <protection locked="0"/>
    </xf>
    <xf numFmtId="0" fontId="1" fillId="13" borderId="0" xfId="10" applyFont="1" applyFill="1" applyAlignment="1" applyProtection="1">
      <alignment horizontal="right"/>
      <protection locked="0"/>
    </xf>
    <xf numFmtId="0" fontId="1" fillId="13" borderId="0" xfId="10" applyFont="1" applyFill="1" applyAlignment="1" applyProtection="1">
      <alignment horizontal="centerContinuous"/>
      <protection locked="0"/>
    </xf>
    <xf numFmtId="0" fontId="1" fillId="13" borderId="0" xfId="10" applyFont="1" applyFill="1" applyBorder="1" applyProtection="1">
      <protection locked="0"/>
    </xf>
    <xf numFmtId="0" fontId="1" fillId="13" borderId="0" xfId="10" applyFont="1" applyFill="1" applyBorder="1" applyAlignment="1" applyProtection="1">
      <alignment horizontal="center"/>
      <protection locked="0"/>
    </xf>
    <xf numFmtId="0" fontId="1" fillId="13" borderId="0" xfId="10" applyFont="1" applyFill="1" applyAlignment="1" applyProtection="1">
      <alignment horizontal="center"/>
    </xf>
    <xf numFmtId="0" fontId="1" fillId="13" borderId="0" xfId="10" applyFont="1" applyFill="1" applyProtection="1"/>
    <xf numFmtId="37" fontId="1" fillId="14" borderId="13" xfId="10" applyNumberFormat="1" applyFont="1" applyFill="1" applyBorder="1" applyProtection="1">
      <protection locked="0"/>
    </xf>
    <xf numFmtId="0" fontId="1" fillId="16" borderId="0" xfId="10" applyFont="1" applyFill="1" applyBorder="1" applyProtection="1">
      <protection locked="0"/>
    </xf>
    <xf numFmtId="37" fontId="1" fillId="16" borderId="0" xfId="10" applyNumberFormat="1" applyFont="1" applyFill="1" applyBorder="1" applyProtection="1"/>
    <xf numFmtId="37" fontId="1" fillId="16" borderId="10" xfId="10" applyNumberFormat="1" applyFont="1" applyFill="1" applyBorder="1" applyProtection="1"/>
    <xf numFmtId="37" fontId="1" fillId="16" borderId="0" xfId="10" applyNumberFormat="1" applyFont="1" applyFill="1" applyBorder="1" applyProtection="1">
      <protection locked="0"/>
    </xf>
    <xf numFmtId="0" fontId="3" fillId="16" borderId="0" xfId="10" applyFont="1" applyFill="1" applyBorder="1" applyProtection="1">
      <protection locked="0"/>
    </xf>
    <xf numFmtId="5" fontId="54" fillId="16" borderId="0" xfId="5" applyFont="1" applyFill="1" applyBorder="1" applyProtection="1">
      <protection hidden="1"/>
    </xf>
    <xf numFmtId="5" fontId="54" fillId="16" borderId="0" xfId="5" applyFont="1" applyFill="1" applyBorder="1" applyProtection="1"/>
    <xf numFmtId="5" fontId="54" fillId="14" borderId="13" xfId="5" applyFont="1" applyFill="1" applyBorder="1" applyProtection="1">
      <protection locked="0"/>
    </xf>
    <xf numFmtId="37" fontId="54" fillId="14" borderId="13" xfId="10" applyNumberFormat="1" applyFont="1" applyFill="1" applyBorder="1" applyProtection="1">
      <protection locked="0"/>
    </xf>
    <xf numFmtId="0" fontId="54" fillId="16" borderId="0" xfId="10" applyFont="1" applyFill="1" applyBorder="1" applyProtection="1">
      <protection locked="0"/>
    </xf>
    <xf numFmtId="37" fontId="54" fillId="16" borderId="0" xfId="10" applyNumberFormat="1" applyFont="1" applyFill="1" applyBorder="1" applyProtection="1"/>
    <xf numFmtId="37" fontId="54" fillId="16" borderId="10" xfId="10" applyNumberFormat="1" applyFont="1" applyFill="1" applyBorder="1" applyProtection="1"/>
    <xf numFmtId="5" fontId="54" fillId="16" borderId="10" xfId="5" applyFont="1" applyFill="1" applyBorder="1" applyProtection="1">
      <protection hidden="1"/>
    </xf>
    <xf numFmtId="37" fontId="54" fillId="16" borderId="0" xfId="10" applyNumberFormat="1" applyFont="1" applyFill="1" applyBorder="1" applyAlignment="1" applyProtection="1">
      <alignment horizontal="fill"/>
    </xf>
    <xf numFmtId="37" fontId="54" fillId="16" borderId="0" xfId="10" applyNumberFormat="1" applyFont="1" applyFill="1" applyBorder="1" applyProtection="1">
      <protection locked="0"/>
    </xf>
    <xf numFmtId="37" fontId="54" fillId="16" borderId="0" xfId="10" applyNumberFormat="1" applyFont="1" applyFill="1" applyBorder="1" applyAlignment="1" applyProtection="1">
      <alignment horizontal="fill"/>
      <protection locked="0"/>
    </xf>
    <xf numFmtId="5" fontId="54" fillId="16" borderId="18" xfId="5" applyFont="1" applyFill="1" applyBorder="1" applyProtection="1">
      <protection hidden="1"/>
    </xf>
    <xf numFmtId="0" fontId="1" fillId="16" borderId="49" xfId="10" applyFont="1" applyFill="1" applyBorder="1" applyAlignment="1" applyProtection="1">
      <alignment horizontal="centerContinuous"/>
      <protection locked="0"/>
    </xf>
    <xf numFmtId="0" fontId="1" fillId="16" borderId="50" xfId="10" applyFont="1" applyFill="1" applyBorder="1" applyProtection="1">
      <protection locked="0"/>
    </xf>
    <xf numFmtId="0" fontId="3" fillId="16" borderId="51" xfId="10" applyFont="1" applyFill="1" applyBorder="1" applyProtection="1">
      <protection locked="0"/>
    </xf>
    <xf numFmtId="0" fontId="54" fillId="16" borderId="52" xfId="10" applyFont="1" applyFill="1" applyBorder="1" applyAlignment="1" applyProtection="1">
      <alignment horizontal="centerContinuous"/>
      <protection locked="0"/>
    </xf>
    <xf numFmtId="0" fontId="54" fillId="16" borderId="0" xfId="10" applyFont="1" applyFill="1" applyBorder="1" applyAlignment="1" applyProtection="1">
      <alignment horizontal="center"/>
    </xf>
    <xf numFmtId="0" fontId="54" fillId="16" borderId="0" xfId="10" applyFont="1" applyFill="1" applyBorder="1" applyAlignment="1" applyProtection="1">
      <alignment horizontal="center"/>
      <protection locked="0"/>
    </xf>
    <xf numFmtId="0" fontId="3" fillId="16" borderId="53" xfId="10" applyFont="1" applyFill="1" applyBorder="1" applyProtection="1">
      <protection locked="0"/>
    </xf>
    <xf numFmtId="0" fontId="59" fillId="16" borderId="0" xfId="10" applyFont="1" applyFill="1" applyBorder="1" applyAlignment="1" applyProtection="1">
      <alignment horizontal="center"/>
      <protection locked="0"/>
    </xf>
    <xf numFmtId="0" fontId="54" fillId="16" borderId="0" xfId="10" applyFont="1" applyFill="1" applyBorder="1" applyProtection="1"/>
    <xf numFmtId="0" fontId="1" fillId="16" borderId="53" xfId="10" applyFont="1" applyFill="1" applyBorder="1" applyProtection="1">
      <protection locked="0"/>
    </xf>
    <xf numFmtId="0" fontId="1" fillId="16" borderId="52" xfId="10" applyFont="1" applyFill="1" applyBorder="1" applyAlignment="1" applyProtection="1">
      <alignment horizontal="centerContinuous"/>
      <protection locked="0"/>
    </xf>
    <xf numFmtId="0" fontId="1" fillId="16" borderId="0" xfId="10" applyFont="1" applyFill="1" applyBorder="1" applyAlignment="1" applyProtection="1">
      <alignment horizontal="fill"/>
      <protection locked="0"/>
    </xf>
    <xf numFmtId="0" fontId="3" fillId="16" borderId="52" xfId="10" applyFont="1" applyFill="1" applyBorder="1" applyAlignment="1" applyProtection="1">
      <alignment horizontal="centerContinuous"/>
      <protection locked="0"/>
    </xf>
    <xf numFmtId="0" fontId="25" fillId="16" borderId="0" xfId="10" applyFont="1" applyFill="1" applyBorder="1" applyProtection="1">
      <protection locked="0"/>
    </xf>
    <xf numFmtId="0" fontId="1" fillId="16" borderId="54" xfId="10" applyFont="1" applyFill="1" applyBorder="1" applyAlignment="1" applyProtection="1">
      <alignment horizontal="centerContinuous"/>
      <protection locked="0"/>
    </xf>
    <xf numFmtId="0" fontId="1" fillId="16" borderId="55" xfId="10" applyFont="1" applyFill="1" applyBorder="1" applyProtection="1">
      <protection locked="0"/>
    </xf>
    <xf numFmtId="0" fontId="3" fillId="16" borderId="56" xfId="10" applyFont="1" applyFill="1" applyBorder="1" applyProtection="1">
      <protection locked="0"/>
    </xf>
    <xf numFmtId="0" fontId="15" fillId="16" borderId="52" xfId="10" applyFont="1" applyFill="1" applyBorder="1" applyAlignment="1" applyProtection="1">
      <alignment horizontal="centerContinuous"/>
      <protection locked="0"/>
    </xf>
    <xf numFmtId="0" fontId="15" fillId="16" borderId="0" xfId="10" applyFont="1" applyFill="1" applyBorder="1" applyProtection="1">
      <protection locked="0"/>
    </xf>
    <xf numFmtId="0" fontId="15" fillId="16" borderId="0" xfId="10" applyFont="1" applyFill="1" applyBorder="1" applyAlignment="1" applyProtection="1">
      <alignment horizontal="center"/>
    </xf>
    <xf numFmtId="0" fontId="15" fillId="16" borderId="0" xfId="10" applyFont="1" applyFill="1" applyBorder="1" applyAlignment="1" applyProtection="1">
      <alignment horizontal="center"/>
      <protection locked="0"/>
    </xf>
    <xf numFmtId="0" fontId="15" fillId="16" borderId="65" xfId="10" applyFont="1" applyFill="1" applyBorder="1" applyAlignment="1" applyProtection="1">
      <alignment horizontal="centerContinuous"/>
      <protection locked="0"/>
    </xf>
    <xf numFmtId="0" fontId="15" fillId="16" borderId="10" xfId="10" applyFont="1" applyFill="1" applyBorder="1" applyAlignment="1" applyProtection="1">
      <alignment horizontal="center"/>
      <protection locked="0"/>
    </xf>
    <xf numFmtId="0" fontId="15" fillId="16" borderId="10" xfId="10" applyFont="1" applyFill="1" applyBorder="1" applyAlignment="1" applyProtection="1">
      <alignment horizontal="center"/>
    </xf>
    <xf numFmtId="0" fontId="4" fillId="13" borderId="0" xfId="10" applyFont="1" applyFill="1" applyProtection="1">
      <protection hidden="1"/>
    </xf>
    <xf numFmtId="0" fontId="3" fillId="13" borderId="0" xfId="7" applyFont="1" applyFill="1" applyAlignment="1" applyProtection="1">
      <protection locked="0"/>
    </xf>
    <xf numFmtId="1" fontId="54" fillId="16" borderId="0" xfId="5" applyNumberFormat="1" applyFont="1" applyFill="1" applyBorder="1" applyProtection="1">
      <protection hidden="1"/>
    </xf>
    <xf numFmtId="1" fontId="54" fillId="16" borderId="10" xfId="10" applyNumberFormat="1" applyFont="1" applyFill="1" applyBorder="1" applyProtection="1"/>
    <xf numFmtId="1" fontId="54" fillId="14" borderId="13" xfId="5" applyNumberFormat="1" applyFont="1" applyFill="1" applyBorder="1" applyProtection="1">
      <protection locked="0"/>
    </xf>
    <xf numFmtId="0" fontId="1" fillId="16" borderId="0" xfId="10" applyFont="1" applyFill="1" applyBorder="1" applyProtection="1"/>
    <xf numFmtId="0" fontId="14" fillId="13" borderId="0" xfId="10" applyFont="1" applyFill="1" applyAlignment="1" applyProtection="1">
      <alignment horizontal="left"/>
      <protection locked="0"/>
    </xf>
    <xf numFmtId="0" fontId="14" fillId="13" borderId="0" xfId="10" applyFont="1" applyFill="1" applyBorder="1" applyAlignment="1" applyProtection="1">
      <alignment horizontal="centerContinuous"/>
      <protection locked="0"/>
    </xf>
    <xf numFmtId="5" fontId="14" fillId="13" borderId="0" xfId="5" applyFont="1" applyFill="1" applyBorder="1" applyProtection="1">
      <protection locked="0"/>
    </xf>
    <xf numFmtId="0" fontId="14" fillId="13" borderId="0" xfId="10" applyFont="1" applyFill="1" applyBorder="1" applyAlignment="1" applyProtection="1">
      <protection locked="0"/>
    </xf>
    <xf numFmtId="0" fontId="1" fillId="13" borderId="0" xfId="10" applyFont="1" applyFill="1" applyAlignment="1" applyProtection="1">
      <alignment horizontal="left"/>
      <protection locked="0"/>
    </xf>
    <xf numFmtId="0" fontId="4" fillId="13" borderId="0" xfId="10" applyFont="1" applyFill="1" applyAlignment="1" applyProtection="1">
      <alignment horizontal="left"/>
      <protection locked="0"/>
    </xf>
    <xf numFmtId="0" fontId="1" fillId="16" borderId="0" xfId="10" applyFont="1" applyFill="1" applyBorder="1" applyAlignment="1" applyProtection="1">
      <alignment horizontal="centerContinuous"/>
      <protection locked="0"/>
    </xf>
    <xf numFmtId="0" fontId="1" fillId="16" borderId="49" xfId="10" applyFont="1" applyFill="1" applyBorder="1" applyProtection="1">
      <protection locked="0"/>
    </xf>
    <xf numFmtId="0" fontId="1" fillId="16" borderId="50" xfId="10" applyFont="1" applyFill="1" applyBorder="1" applyAlignment="1" applyProtection="1">
      <alignment horizontal="centerContinuous"/>
      <protection locked="0"/>
    </xf>
    <xf numFmtId="0" fontId="28" fillId="16" borderId="52" xfId="10" applyFont="1" applyFill="1" applyBorder="1" applyProtection="1">
      <protection locked="0"/>
    </xf>
    <xf numFmtId="0" fontId="1" fillId="16" borderId="52" xfId="10" applyFont="1" applyFill="1" applyBorder="1" applyProtection="1">
      <protection locked="0"/>
    </xf>
    <xf numFmtId="0" fontId="14" fillId="16" borderId="0" xfId="10" applyFont="1" applyFill="1" applyBorder="1" applyProtection="1">
      <protection locked="0"/>
    </xf>
    <xf numFmtId="0" fontId="2" fillId="16" borderId="0" xfId="10" applyFont="1" applyFill="1" applyBorder="1" applyAlignment="1" applyProtection="1">
      <alignment horizontal="fill"/>
      <protection locked="0"/>
    </xf>
    <xf numFmtId="5" fontId="14" fillId="16" borderId="0" xfId="10" applyNumberFormat="1" applyFont="1" applyFill="1" applyBorder="1" applyProtection="1">
      <protection locked="0"/>
    </xf>
    <xf numFmtId="167" fontId="1" fillId="14" borderId="22" xfId="10" applyNumberFormat="1" applyFont="1" applyFill="1" applyBorder="1" applyAlignment="1" applyProtection="1">
      <alignment horizontal="center"/>
      <protection locked="0"/>
    </xf>
    <xf numFmtId="0" fontId="1" fillId="16" borderId="0" xfId="10" applyFont="1" applyFill="1" applyBorder="1" applyAlignment="1" applyProtection="1">
      <alignment horizontal="center"/>
      <protection locked="0"/>
    </xf>
    <xf numFmtId="0" fontId="25" fillId="16" borderId="0" xfId="10" applyFont="1" applyFill="1" applyBorder="1" applyAlignment="1" applyProtection="1">
      <alignment horizontal="center"/>
      <protection locked="0"/>
    </xf>
    <xf numFmtId="0" fontId="25" fillId="16" borderId="0" xfId="10" applyFont="1" applyFill="1" applyBorder="1" applyAlignment="1" applyProtection="1">
      <alignment horizontal="centerContinuous"/>
      <protection locked="0"/>
    </xf>
    <xf numFmtId="5" fontId="1" fillId="16" borderId="0" xfId="10" applyNumberFormat="1" applyFont="1" applyFill="1" applyBorder="1" applyProtection="1">
      <protection locked="0"/>
    </xf>
    <xf numFmtId="5" fontId="1" fillId="16" borderId="18" xfId="10" applyNumberFormat="1" applyFont="1" applyFill="1" applyBorder="1" applyProtection="1"/>
    <xf numFmtId="0" fontId="54" fillId="16" borderId="0" xfId="10" applyFont="1" applyFill="1" applyBorder="1" applyAlignment="1" applyProtection="1">
      <alignment horizontal="centerContinuous"/>
      <protection locked="0"/>
    </xf>
    <xf numFmtId="5" fontId="54" fillId="16" borderId="0" xfId="5" applyFont="1" applyFill="1" applyBorder="1" applyProtection="1">
      <protection locked="0"/>
    </xf>
    <xf numFmtId="0" fontId="54" fillId="16" borderId="0" xfId="10" applyFont="1" applyFill="1" applyBorder="1" applyAlignment="1" applyProtection="1">
      <protection locked="0"/>
    </xf>
    <xf numFmtId="5" fontId="54" fillId="16" borderId="10" xfId="5" quotePrefix="1" applyFont="1" applyFill="1" applyBorder="1" applyProtection="1"/>
    <xf numFmtId="5" fontId="54" fillId="16" borderId="0" xfId="10" applyNumberFormat="1" applyFont="1" applyFill="1" applyBorder="1" applyProtection="1">
      <protection locked="0"/>
    </xf>
    <xf numFmtId="5" fontId="54" fillId="16" borderId="18" xfId="10" applyNumberFormat="1" applyFont="1" applyFill="1" applyBorder="1" applyProtection="1"/>
    <xf numFmtId="0" fontId="1" fillId="13" borderId="0" xfId="10" applyFont="1" applyFill="1" applyBorder="1" applyAlignment="1" applyProtection="1">
      <alignment horizontal="center"/>
    </xf>
    <xf numFmtId="0" fontId="1" fillId="13" borderId="0" xfId="7" applyFont="1" applyFill="1" applyAlignment="1" applyProtection="1">
      <alignment horizontal="center"/>
    </xf>
    <xf numFmtId="5" fontId="54" fillId="16" borderId="10" xfId="5" applyFont="1" applyFill="1" applyBorder="1" applyProtection="1"/>
    <xf numFmtId="5" fontId="54" fillId="16" borderId="0" xfId="10" applyNumberFormat="1" applyFont="1" applyFill="1" applyBorder="1" applyProtection="1"/>
    <xf numFmtId="0" fontId="15" fillId="16" borderId="0" xfId="10" applyFont="1" applyFill="1" applyBorder="1" applyAlignment="1" applyProtection="1">
      <alignment horizontal="centerContinuous"/>
      <protection locked="0"/>
    </xf>
    <xf numFmtId="0" fontId="15" fillId="16" borderId="10" xfId="10" applyFont="1" applyFill="1" applyBorder="1" applyAlignment="1" applyProtection="1">
      <alignment horizontal="centerContinuous"/>
      <protection locked="0"/>
    </xf>
    <xf numFmtId="0" fontId="39" fillId="13" borderId="0" xfId="10" applyFont="1" applyFill="1" applyProtection="1">
      <protection locked="0" hidden="1"/>
    </xf>
    <xf numFmtId="0" fontId="14" fillId="13" borderId="0" xfId="10" applyFont="1" applyFill="1" applyProtection="1">
      <protection locked="0" hidden="1"/>
    </xf>
    <xf numFmtId="0" fontId="14" fillId="13" borderId="0" xfId="10" applyFont="1" applyFill="1" applyAlignment="1" applyProtection="1">
      <alignment horizontal="centerContinuous"/>
      <protection locked="0" hidden="1"/>
    </xf>
    <xf numFmtId="0" fontId="2" fillId="13" borderId="0" xfId="10" applyFont="1" applyFill="1" applyProtection="1">
      <protection locked="0" hidden="1"/>
    </xf>
    <xf numFmtId="0" fontId="9" fillId="13" borderId="0" xfId="10" applyFont="1" applyFill="1" applyBorder="1" applyAlignment="1" applyProtection="1">
      <alignment horizontal="centerContinuous"/>
      <protection locked="0" hidden="1"/>
    </xf>
    <xf numFmtId="0" fontId="9" fillId="13" borderId="0" xfId="10" applyFont="1" applyFill="1" applyBorder="1" applyAlignment="1" applyProtection="1">
      <alignment horizontal="center"/>
      <protection locked="0" hidden="1"/>
    </xf>
    <xf numFmtId="0" fontId="40" fillId="13" borderId="0" xfId="10" applyFont="1" applyFill="1" applyBorder="1" applyAlignment="1" applyProtection="1">
      <alignment horizontal="center"/>
      <protection locked="0" hidden="1"/>
    </xf>
    <xf numFmtId="37" fontId="14" fillId="13" borderId="0" xfId="10" applyNumberFormat="1" applyFont="1" applyFill="1" applyProtection="1">
      <protection locked="0" hidden="1"/>
    </xf>
    <xf numFmtId="37" fontId="22" fillId="13" borderId="0" xfId="10" applyNumberFormat="1" applyFont="1" applyFill="1" applyProtection="1">
      <protection locked="0" hidden="1"/>
    </xf>
    <xf numFmtId="0" fontId="9" fillId="13" borderId="0" xfId="6" applyFont="1" applyFill="1" applyAlignment="1" applyProtection="1">
      <protection locked="0" hidden="1"/>
    </xf>
    <xf numFmtId="0" fontId="14" fillId="13" borderId="0" xfId="10" applyFont="1" applyFill="1" applyBorder="1" applyProtection="1">
      <protection locked="0" hidden="1"/>
    </xf>
    <xf numFmtId="0" fontId="14" fillId="13" borderId="0" xfId="10" applyFont="1" applyFill="1" applyBorder="1" applyAlignment="1" applyProtection="1">
      <alignment horizontal="centerContinuous"/>
      <protection locked="0" hidden="1"/>
    </xf>
    <xf numFmtId="0" fontId="2" fillId="13" borderId="0" xfId="8" applyFont="1" applyFill="1" applyProtection="1">
      <protection locked="0"/>
    </xf>
    <xf numFmtId="0" fontId="9" fillId="13" borderId="0" xfId="6" applyFont="1" applyFill="1" applyAlignment="1" applyProtection="1">
      <protection locked="0"/>
    </xf>
    <xf numFmtId="5" fontId="14" fillId="13" borderId="0" xfId="10" applyNumberFormat="1" applyFont="1" applyFill="1" applyBorder="1" applyProtection="1">
      <protection locked="0"/>
    </xf>
    <xf numFmtId="0" fontId="14" fillId="13" borderId="0" xfId="10" applyFont="1" applyFill="1" applyAlignment="1" applyProtection="1">
      <alignment horizontal="center"/>
      <protection locked="0" hidden="1"/>
    </xf>
    <xf numFmtId="0" fontId="9" fillId="13" borderId="0" xfId="10" applyFont="1" applyFill="1" applyBorder="1" applyAlignment="1" applyProtection="1">
      <alignment horizontal="centerContinuous"/>
      <protection locked="0"/>
    </xf>
    <xf numFmtId="37" fontId="32" fillId="13" borderId="0" xfId="10" applyNumberFormat="1" applyFont="1" applyFill="1" applyBorder="1" applyProtection="1">
      <protection locked="0" hidden="1"/>
    </xf>
    <xf numFmtId="0" fontId="10" fillId="13" borderId="0" xfId="8" applyFont="1" applyFill="1" applyProtection="1">
      <protection locked="0"/>
    </xf>
    <xf numFmtId="0" fontId="14" fillId="13" borderId="0" xfId="8" applyFont="1" applyFill="1" applyProtection="1">
      <protection locked="0"/>
    </xf>
    <xf numFmtId="0" fontId="14" fillId="13" borderId="0" xfId="8" applyFont="1" applyFill="1" applyAlignment="1" applyProtection="1">
      <alignment horizontal="centerContinuous"/>
      <protection locked="0"/>
    </xf>
    <xf numFmtId="0" fontId="1" fillId="13" borderId="0" xfId="10" applyFont="1" applyFill="1" applyProtection="1">
      <protection locked="0" hidden="1"/>
    </xf>
    <xf numFmtId="0" fontId="1" fillId="13" borderId="0" xfId="10" applyFont="1" applyFill="1" applyAlignment="1" applyProtection="1">
      <alignment horizontal="centerContinuous"/>
      <protection locked="0" hidden="1"/>
    </xf>
    <xf numFmtId="0" fontId="1" fillId="13" borderId="0" xfId="10" applyFont="1" applyFill="1" applyAlignment="1" applyProtection="1">
      <protection locked="0" hidden="1"/>
    </xf>
    <xf numFmtId="0" fontId="1" fillId="13" borderId="0" xfId="10" applyFont="1" applyFill="1" applyAlignment="1" applyProtection="1">
      <protection locked="0"/>
    </xf>
    <xf numFmtId="0" fontId="14" fillId="16" borderId="0" xfId="10" applyFont="1" applyFill="1" applyBorder="1" applyProtection="1">
      <protection locked="0" hidden="1"/>
    </xf>
    <xf numFmtId="37" fontId="32" fillId="16" borderId="0" xfId="10" applyNumberFormat="1" applyFont="1" applyFill="1" applyBorder="1" applyProtection="1">
      <protection locked="0"/>
    </xf>
    <xf numFmtId="0" fontId="25" fillId="16" borderId="0" xfId="10" applyFont="1" applyFill="1" applyBorder="1" applyAlignment="1" applyProtection="1">
      <alignment horizontal="centerContinuous"/>
      <protection locked="0" hidden="1"/>
    </xf>
    <xf numFmtId="0" fontId="25" fillId="16" borderId="0" xfId="10" applyFont="1" applyFill="1" applyBorder="1" applyAlignment="1" applyProtection="1">
      <alignment horizontal="center"/>
      <protection locked="0" hidden="1"/>
    </xf>
    <xf numFmtId="0" fontId="1" fillId="16" borderId="0" xfId="10" applyFont="1" applyFill="1" applyBorder="1" applyProtection="1">
      <protection locked="0" hidden="1"/>
    </xf>
    <xf numFmtId="0" fontId="25" fillId="16" borderId="0" xfId="10" applyFont="1" applyFill="1" applyBorder="1" applyAlignment="1" applyProtection="1">
      <alignment horizontal="centerContinuous"/>
      <protection hidden="1"/>
    </xf>
    <xf numFmtId="0" fontId="25" fillId="16" borderId="0" xfId="10" applyFont="1" applyFill="1" applyBorder="1" applyAlignment="1" applyProtection="1">
      <alignment horizontal="center"/>
      <protection hidden="1"/>
    </xf>
    <xf numFmtId="0" fontId="40" fillId="16" borderId="0" xfId="10" applyFont="1" applyFill="1" applyBorder="1" applyAlignment="1" applyProtection="1">
      <alignment horizontal="center"/>
      <protection hidden="1"/>
    </xf>
    <xf numFmtId="0" fontId="1" fillId="16" borderId="0" xfId="10" applyFont="1" applyFill="1" applyBorder="1" applyAlignment="1" applyProtection="1">
      <alignment horizontal="center"/>
      <protection locked="0" hidden="1"/>
    </xf>
    <xf numFmtId="0" fontId="1" fillId="16" borderId="0" xfId="10" applyFont="1" applyFill="1" applyBorder="1" applyAlignment="1" applyProtection="1">
      <alignment horizontal="centerContinuous"/>
      <protection hidden="1"/>
    </xf>
    <xf numFmtId="0" fontId="60" fillId="16" borderId="10" xfId="10" applyFont="1" applyFill="1" applyBorder="1" applyAlignment="1" applyProtection="1">
      <alignment horizontal="center"/>
      <protection hidden="1"/>
    </xf>
    <xf numFmtId="0" fontId="3" fillId="16" borderId="10" xfId="10" applyFont="1" applyFill="1" applyBorder="1" applyAlignment="1" applyProtection="1">
      <alignment horizontal="centerContinuous"/>
      <protection locked="0" hidden="1"/>
    </xf>
    <xf numFmtId="0" fontId="3" fillId="16" borderId="10" xfId="10" applyFont="1" applyFill="1" applyBorder="1" applyAlignment="1" applyProtection="1">
      <alignment horizontal="center"/>
      <protection locked="0" hidden="1"/>
    </xf>
    <xf numFmtId="0" fontId="3" fillId="16" borderId="10" xfId="10" applyFont="1" applyFill="1" applyBorder="1" applyAlignment="1" applyProtection="1">
      <alignment horizontal="centerContinuous"/>
      <protection hidden="1"/>
    </xf>
    <xf numFmtId="0" fontId="3" fillId="16" borderId="10" xfId="10" applyFont="1" applyFill="1" applyBorder="1" applyAlignment="1" applyProtection="1">
      <alignment horizontal="center"/>
      <protection hidden="1"/>
    </xf>
    <xf numFmtId="0" fontId="54" fillId="16" borderId="0" xfId="10" applyFont="1" applyFill="1" applyBorder="1" applyProtection="1">
      <protection locked="0" hidden="1"/>
    </xf>
    <xf numFmtId="0" fontId="1" fillId="16" borderId="49" xfId="10" applyFont="1" applyFill="1" applyBorder="1" applyAlignment="1" applyProtection="1">
      <alignment horizontal="centerContinuous"/>
      <protection locked="0" hidden="1"/>
    </xf>
    <xf numFmtId="0" fontId="1" fillId="16" borderId="50" xfId="10" applyFont="1" applyFill="1" applyBorder="1" applyProtection="1">
      <protection locked="0" hidden="1"/>
    </xf>
    <xf numFmtId="0" fontId="3" fillId="16" borderId="52" xfId="10" applyFont="1" applyFill="1" applyBorder="1" applyAlignment="1" applyProtection="1">
      <alignment horizontal="centerContinuous"/>
      <protection locked="0" hidden="1"/>
    </xf>
    <xf numFmtId="0" fontId="3" fillId="16" borderId="0" xfId="10" applyFont="1" applyFill="1" applyBorder="1" applyProtection="1">
      <protection locked="0" hidden="1"/>
    </xf>
    <xf numFmtId="37" fontId="3" fillId="16" borderId="0" xfId="10" applyNumberFormat="1" applyFont="1" applyFill="1" applyBorder="1" applyAlignment="1" applyProtection="1">
      <alignment horizontal="centerContinuous"/>
      <protection locked="0" hidden="1"/>
    </xf>
    <xf numFmtId="0" fontId="3" fillId="16" borderId="0" xfId="10" applyFont="1" applyFill="1" applyBorder="1" applyAlignment="1" applyProtection="1">
      <protection locked="0" hidden="1"/>
    </xf>
    <xf numFmtId="0" fontId="3" fillId="16" borderId="0" xfId="10" applyFont="1" applyFill="1" applyBorder="1" applyAlignment="1" applyProtection="1">
      <protection locked="0"/>
    </xf>
    <xf numFmtId="0" fontId="3" fillId="16" borderId="0" xfId="10" applyFont="1" applyFill="1" applyBorder="1" applyAlignment="1" applyProtection="1">
      <alignment horizontal="centerContinuous"/>
      <protection hidden="1"/>
    </xf>
    <xf numFmtId="0" fontId="39" fillId="16" borderId="0" xfId="10" applyFont="1" applyFill="1" applyBorder="1" applyAlignment="1" applyProtection="1">
      <protection locked="0" hidden="1"/>
    </xf>
    <xf numFmtId="0" fontId="39" fillId="16" borderId="0" xfId="10" applyFont="1" applyFill="1" applyBorder="1" applyAlignment="1" applyProtection="1">
      <alignment horizontal="centerContinuous"/>
      <protection locked="0" hidden="1"/>
    </xf>
    <xf numFmtId="0" fontId="3" fillId="16" borderId="0" xfId="10" applyFont="1" applyFill="1" applyBorder="1" applyAlignment="1" applyProtection="1">
      <alignment horizontal="centerContinuous"/>
    </xf>
    <xf numFmtId="0" fontId="3" fillId="16" borderId="0" xfId="10" applyFont="1" applyFill="1" applyBorder="1" applyAlignment="1" applyProtection="1">
      <alignment horizontal="center"/>
    </xf>
    <xf numFmtId="0" fontId="39" fillId="16" borderId="0" xfId="10" applyFont="1" applyFill="1" applyBorder="1" applyAlignment="1" applyProtection="1">
      <alignment horizontal="center"/>
      <protection hidden="1"/>
    </xf>
    <xf numFmtId="0" fontId="3" fillId="16" borderId="65" xfId="10" applyFont="1" applyFill="1" applyBorder="1" applyAlignment="1" applyProtection="1">
      <alignment horizontal="centerContinuous"/>
      <protection locked="0" hidden="1"/>
    </xf>
    <xf numFmtId="0" fontId="1" fillId="16" borderId="52" xfId="10" applyFont="1" applyFill="1" applyBorder="1" applyAlignment="1" applyProtection="1">
      <alignment horizontal="centerContinuous"/>
      <protection locked="0" hidden="1"/>
    </xf>
    <xf numFmtId="37" fontId="14" fillId="16" borderId="0" xfId="10" applyNumberFormat="1" applyFont="1" applyFill="1" applyBorder="1" applyProtection="1">
      <protection hidden="1"/>
    </xf>
    <xf numFmtId="0" fontId="2" fillId="16" borderId="0" xfId="10" applyFont="1" applyFill="1" applyBorder="1" applyProtection="1">
      <protection hidden="1"/>
    </xf>
    <xf numFmtId="0" fontId="39" fillId="16" borderId="0" xfId="10" applyFont="1" applyFill="1" applyBorder="1" applyProtection="1">
      <protection locked="0" hidden="1"/>
    </xf>
    <xf numFmtId="0" fontId="15" fillId="16" borderId="52" xfId="10" applyFont="1" applyFill="1" applyBorder="1" applyAlignment="1" applyProtection="1">
      <alignment horizontal="centerContinuous"/>
      <protection locked="0" hidden="1"/>
    </xf>
    <xf numFmtId="0" fontId="62" fillId="16" borderId="0" xfId="6" applyFont="1" applyFill="1" applyBorder="1" applyAlignment="1" applyProtection="1"/>
    <xf numFmtId="0" fontId="62" fillId="16" borderId="0" xfId="6" applyFont="1" applyFill="1" applyBorder="1" applyAlignment="1" applyProtection="1">
      <protection locked="0" hidden="1"/>
    </xf>
    <xf numFmtId="0" fontId="54" fillId="16" borderId="0" xfId="8" applyFont="1" applyFill="1" applyBorder="1" applyProtection="1">
      <protection locked="0"/>
    </xf>
    <xf numFmtId="0" fontId="62" fillId="16" borderId="0" xfId="6" applyFont="1" applyFill="1" applyBorder="1" applyAlignment="1" applyProtection="1">
      <protection locked="0"/>
    </xf>
    <xf numFmtId="0" fontId="63" fillId="16" borderId="0" xfId="10" applyFont="1" applyFill="1" applyBorder="1" applyProtection="1">
      <protection locked="0" hidden="1"/>
    </xf>
    <xf numFmtId="0" fontId="14" fillId="16" borderId="54" xfId="10" applyFont="1" applyFill="1" applyBorder="1" applyAlignment="1" applyProtection="1">
      <alignment horizontal="centerContinuous"/>
      <protection locked="0"/>
    </xf>
    <xf numFmtId="0" fontId="14" fillId="16" borderId="55" xfId="10" applyFont="1" applyFill="1" applyBorder="1" applyProtection="1">
      <protection locked="0"/>
    </xf>
    <xf numFmtId="5" fontId="14" fillId="16" borderId="55" xfId="10" applyNumberFormat="1" applyFont="1" applyFill="1" applyBorder="1" applyProtection="1">
      <protection locked="0"/>
    </xf>
    <xf numFmtId="0" fontId="39" fillId="16" borderId="55" xfId="10" applyFont="1" applyFill="1" applyBorder="1" applyProtection="1">
      <protection locked="0" hidden="1"/>
    </xf>
    <xf numFmtId="0" fontId="1" fillId="13" borderId="0" xfId="10" applyFont="1" applyFill="1" applyProtection="1">
      <protection hidden="1"/>
    </xf>
    <xf numFmtId="0" fontId="1" fillId="13" borderId="0" xfId="10" applyFont="1" applyFill="1" applyAlignment="1" applyProtection="1">
      <alignment horizontal="centerContinuous"/>
    </xf>
    <xf numFmtId="0" fontId="1" fillId="13" borderId="0" xfId="10" applyFont="1" applyFill="1" applyAlignment="1" applyProtection="1">
      <alignment horizontal="centerContinuous"/>
      <protection hidden="1"/>
    </xf>
    <xf numFmtId="0" fontId="1" fillId="13" borderId="0" xfId="10" applyFont="1" applyFill="1" applyAlignment="1" applyProtection="1">
      <protection hidden="1"/>
    </xf>
    <xf numFmtId="5" fontId="54" fillId="16" borderId="0" xfId="10" applyNumberFormat="1" applyFont="1" applyFill="1" applyBorder="1" applyProtection="1">
      <protection hidden="1"/>
    </xf>
    <xf numFmtId="5" fontId="54" fillId="16" borderId="0" xfId="10" applyNumberFormat="1" applyFont="1" applyFill="1" applyBorder="1" applyProtection="1">
      <protection locked="0" hidden="1"/>
    </xf>
    <xf numFmtId="5" fontId="54" fillId="14" borderId="13" xfId="10" applyNumberFormat="1" applyFont="1" applyFill="1" applyBorder="1" applyProtection="1">
      <protection locked="0" hidden="1"/>
    </xf>
    <xf numFmtId="37" fontId="54" fillId="16" borderId="0" xfId="10" applyNumberFormat="1" applyFont="1" applyFill="1" applyBorder="1" applyProtection="1">
      <protection hidden="1"/>
    </xf>
    <xf numFmtId="37" fontId="54" fillId="16" borderId="0" xfId="10" applyNumberFormat="1" applyFont="1" applyFill="1" applyBorder="1" applyProtection="1">
      <protection locked="0" hidden="1"/>
    </xf>
    <xf numFmtId="37" fontId="54" fillId="14" borderId="13" xfId="10" applyNumberFormat="1" applyFont="1" applyFill="1" applyBorder="1" applyProtection="1">
      <protection locked="0" hidden="1"/>
    </xf>
    <xf numFmtId="37" fontId="54" fillId="16" borderId="10" xfId="10" applyNumberFormat="1" applyFont="1" applyFill="1" applyBorder="1" applyProtection="1">
      <protection hidden="1"/>
    </xf>
    <xf numFmtId="37" fontId="54" fillId="16" borderId="7" xfId="10" applyNumberFormat="1" applyFont="1" applyFill="1" applyBorder="1" applyProtection="1">
      <protection hidden="1"/>
    </xf>
    <xf numFmtId="37" fontId="54" fillId="16" borderId="7" xfId="10" applyNumberFormat="1" applyFont="1" applyFill="1" applyBorder="1" applyProtection="1">
      <protection locked="0"/>
    </xf>
    <xf numFmtId="5" fontId="54" fillId="16" borderId="10" xfId="10" applyNumberFormat="1" applyFont="1" applyFill="1" applyBorder="1" applyProtection="1">
      <protection hidden="1"/>
    </xf>
    <xf numFmtId="5" fontId="54" fillId="16" borderId="7" xfId="10" applyNumberFormat="1" applyFont="1" applyFill="1" applyBorder="1" applyProtection="1">
      <protection locked="0"/>
    </xf>
    <xf numFmtId="5" fontId="54" fillId="16" borderId="10" xfId="10" applyNumberFormat="1" applyFont="1" applyFill="1" applyBorder="1" applyProtection="1"/>
    <xf numFmtId="37" fontId="14" fillId="16" borderId="0" xfId="10" applyNumberFormat="1" applyFont="1" applyFill="1" applyBorder="1" applyProtection="1">
      <protection locked="0" hidden="1"/>
    </xf>
    <xf numFmtId="0" fontId="39" fillId="16" borderId="53" xfId="10" applyFont="1" applyFill="1" applyBorder="1" applyProtection="1">
      <protection locked="0" hidden="1"/>
    </xf>
    <xf numFmtId="0" fontId="14" fillId="16" borderId="52" xfId="10" applyFont="1" applyFill="1" applyBorder="1" applyAlignment="1" applyProtection="1">
      <alignment horizontal="centerContinuous"/>
      <protection locked="0" hidden="1"/>
    </xf>
    <xf numFmtId="0" fontId="9" fillId="16" borderId="0" xfId="6" applyFill="1" applyBorder="1" applyAlignment="1" applyProtection="1"/>
    <xf numFmtId="0" fontId="9" fillId="16" borderId="53" xfId="6" applyFill="1" applyBorder="1" applyAlignment="1" applyProtection="1"/>
    <xf numFmtId="37" fontId="22" fillId="16" borderId="0" xfId="10" applyNumberFormat="1" applyFont="1" applyFill="1" applyBorder="1" applyProtection="1">
      <protection locked="0" hidden="1"/>
    </xf>
    <xf numFmtId="0" fontId="9" fillId="16" borderId="0" xfId="6" applyFont="1" applyFill="1" applyBorder="1" applyAlignment="1" applyProtection="1">
      <protection locked="0" hidden="1"/>
    </xf>
    <xf numFmtId="0" fontId="14" fillId="16" borderId="0" xfId="8" applyFont="1" applyFill="1" applyBorder="1" applyProtection="1">
      <protection locked="0"/>
    </xf>
    <xf numFmtId="0" fontId="14" fillId="16" borderId="52" xfId="10" applyFont="1" applyFill="1" applyBorder="1" applyAlignment="1" applyProtection="1">
      <alignment horizontal="centerContinuous"/>
      <protection locked="0"/>
    </xf>
    <xf numFmtId="0" fontId="2" fillId="16" borderId="54" xfId="10" applyFont="1" applyFill="1" applyBorder="1" applyAlignment="1" applyProtection="1">
      <alignment horizontal="centerContinuous"/>
      <protection locked="0"/>
    </xf>
    <xf numFmtId="0" fontId="39" fillId="16" borderId="56" xfId="10" applyFont="1" applyFill="1" applyBorder="1" applyProtection="1">
      <protection locked="0" hidden="1"/>
    </xf>
    <xf numFmtId="0" fontId="1" fillId="13" borderId="0" xfId="10" applyFont="1" applyFill="1" applyAlignment="1" applyProtection="1">
      <alignment horizontal="left"/>
      <protection locked="0" hidden="1"/>
    </xf>
    <xf numFmtId="0" fontId="1" fillId="13" borderId="0" xfId="10" applyFont="1" applyFill="1" applyBorder="1" applyProtection="1">
      <protection locked="0" hidden="1"/>
    </xf>
    <xf numFmtId="0" fontId="1" fillId="16" borderId="0" xfId="10" applyFont="1" applyFill="1" applyBorder="1" applyAlignment="1" applyProtection="1">
      <protection locked="0" hidden="1"/>
    </xf>
    <xf numFmtId="5" fontId="1" fillId="16" borderId="0" xfId="10" applyNumberFormat="1" applyFont="1" applyFill="1" applyBorder="1" applyProtection="1">
      <protection locked="0" hidden="1"/>
    </xf>
    <xf numFmtId="5" fontId="1" fillId="16" borderId="0" xfId="10" applyNumberFormat="1" applyFont="1" applyFill="1" applyBorder="1" applyProtection="1">
      <protection hidden="1"/>
    </xf>
    <xf numFmtId="37" fontId="1" fillId="16" borderId="0" xfId="10" applyNumberFormat="1" applyFont="1" applyFill="1" applyBorder="1" applyProtection="1">
      <protection locked="0" hidden="1"/>
    </xf>
    <xf numFmtId="37" fontId="1" fillId="16" borderId="0" xfId="10" applyNumberFormat="1" applyFont="1" applyFill="1" applyBorder="1" applyProtection="1">
      <protection hidden="1"/>
    </xf>
    <xf numFmtId="37" fontId="1" fillId="16" borderId="7" xfId="10" applyNumberFormat="1" applyFont="1" applyFill="1" applyBorder="1" applyProtection="1">
      <protection locked="0" hidden="1"/>
    </xf>
    <xf numFmtId="37" fontId="1" fillId="16" borderId="7" xfId="10" applyNumberFormat="1" applyFont="1" applyFill="1" applyBorder="1" applyProtection="1">
      <protection locked="0"/>
    </xf>
    <xf numFmtId="5" fontId="1" fillId="16" borderId="10" xfId="10" applyNumberFormat="1" applyFont="1" applyFill="1" applyBorder="1" applyProtection="1">
      <protection hidden="1"/>
    </xf>
    <xf numFmtId="5" fontId="1" fillId="16" borderId="10" xfId="10" applyNumberFormat="1" applyFont="1" applyFill="1" applyBorder="1" applyProtection="1">
      <protection locked="0"/>
    </xf>
    <xf numFmtId="0" fontId="3" fillId="16" borderId="52" xfId="8" applyFont="1" applyFill="1" applyBorder="1" applyProtection="1">
      <protection locked="0"/>
    </xf>
    <xf numFmtId="0" fontId="1" fillId="16" borderId="0" xfId="8" applyFont="1" applyFill="1" applyBorder="1" applyProtection="1">
      <protection locked="0"/>
    </xf>
    <xf numFmtId="0" fontId="1" fillId="16" borderId="52" xfId="8" applyFont="1" applyFill="1" applyBorder="1" applyAlignment="1" applyProtection="1">
      <alignment horizontal="centerContinuous"/>
      <protection locked="0"/>
    </xf>
    <xf numFmtId="37" fontId="25" fillId="16" borderId="0" xfId="10" applyNumberFormat="1" applyFont="1" applyFill="1" applyBorder="1" applyAlignment="1" applyProtection="1">
      <alignment horizontal="centerContinuous"/>
      <protection hidden="1"/>
    </xf>
    <xf numFmtId="37" fontId="1" fillId="16" borderId="7" xfId="10" applyNumberFormat="1" applyFont="1" applyFill="1" applyBorder="1" applyProtection="1">
      <protection hidden="1"/>
    </xf>
    <xf numFmtId="0" fontId="1" fillId="16" borderId="0" xfId="10" applyFont="1" applyFill="1" applyBorder="1" applyAlignment="1" applyProtection="1">
      <alignment horizontal="centerContinuous"/>
    </xf>
    <xf numFmtId="0" fontId="1" fillId="16" borderId="0" xfId="10" applyFont="1" applyFill="1" applyBorder="1" applyAlignment="1" applyProtection="1">
      <alignment horizontal="center"/>
    </xf>
    <xf numFmtId="0" fontId="39" fillId="16" borderId="53" xfId="10" applyFont="1" applyFill="1" applyBorder="1" applyAlignment="1" applyProtection="1">
      <alignment horizontal="center"/>
      <protection hidden="1"/>
    </xf>
    <xf numFmtId="0" fontId="40" fillId="16" borderId="53" xfId="10" applyFont="1" applyFill="1" applyBorder="1" applyAlignment="1" applyProtection="1">
      <alignment horizontal="center"/>
      <protection hidden="1"/>
    </xf>
    <xf numFmtId="0" fontId="39" fillId="16" borderId="0" xfId="10" applyFont="1" applyFill="1" applyBorder="1" applyProtection="1">
      <protection hidden="1"/>
    </xf>
    <xf numFmtId="0" fontId="39" fillId="16" borderId="53" xfId="10" applyFont="1" applyFill="1" applyBorder="1" applyProtection="1">
      <protection hidden="1"/>
    </xf>
    <xf numFmtId="37" fontId="1" fillId="14" borderId="13" xfId="10" applyNumberFormat="1" applyFont="1" applyFill="1" applyBorder="1" applyProtection="1">
      <protection locked="0" hidden="1"/>
    </xf>
    <xf numFmtId="0" fontId="3" fillId="16" borderId="49" xfId="10" applyFont="1" applyFill="1" applyBorder="1" applyAlignment="1" applyProtection="1">
      <protection locked="0" hidden="1"/>
    </xf>
    <xf numFmtId="0" fontId="3" fillId="16" borderId="50" xfId="10" applyFont="1" applyFill="1" applyBorder="1" applyAlignment="1" applyProtection="1">
      <protection locked="0" hidden="1"/>
    </xf>
    <xf numFmtId="0" fontId="3" fillId="16" borderId="50" xfId="10" applyFont="1" applyFill="1" applyBorder="1" applyAlignment="1" applyProtection="1">
      <protection locked="0"/>
    </xf>
    <xf numFmtId="0" fontId="3" fillId="16" borderId="0" xfId="10" applyFont="1" applyFill="1" applyBorder="1" applyProtection="1"/>
    <xf numFmtId="0" fontId="3" fillId="16" borderId="0" xfId="10" applyFont="1" applyFill="1" applyBorder="1" applyAlignment="1" applyProtection="1">
      <alignment horizontal="center"/>
      <protection hidden="1"/>
    </xf>
    <xf numFmtId="0" fontId="3" fillId="16" borderId="52" xfId="10" applyFont="1" applyFill="1" applyBorder="1" applyProtection="1">
      <protection locked="0" hidden="1"/>
    </xf>
    <xf numFmtId="0" fontId="3" fillId="16" borderId="52" xfId="10" applyFont="1" applyFill="1" applyBorder="1" applyAlignment="1" applyProtection="1">
      <alignment horizontal="center"/>
      <protection locked="0" hidden="1"/>
    </xf>
    <xf numFmtId="37" fontId="54" fillId="16" borderId="7" xfId="10" applyNumberFormat="1" applyFont="1" applyFill="1" applyBorder="1" applyProtection="1">
      <protection locked="0" hidden="1"/>
    </xf>
    <xf numFmtId="5" fontId="54" fillId="16" borderId="10" xfId="10" applyNumberFormat="1" applyFont="1" applyFill="1" applyBorder="1" applyProtection="1">
      <protection locked="0"/>
    </xf>
    <xf numFmtId="0" fontId="15" fillId="16" borderId="52" xfId="10" applyFont="1" applyFill="1" applyBorder="1" applyProtection="1">
      <protection locked="0" hidden="1"/>
    </xf>
    <xf numFmtId="0" fontId="15" fillId="16" borderId="52" xfId="10" applyFont="1" applyFill="1" applyBorder="1" applyAlignment="1" applyProtection="1">
      <alignment horizontal="center"/>
      <protection locked="0" hidden="1"/>
    </xf>
    <xf numFmtId="0" fontId="54" fillId="16" borderId="52" xfId="10" applyFont="1" applyFill="1" applyBorder="1" applyAlignment="1" applyProtection="1">
      <alignment horizontal="centerContinuous"/>
      <protection locked="0" hidden="1"/>
    </xf>
    <xf numFmtId="0" fontId="9" fillId="13" borderId="0" xfId="6" applyFont="1" applyFill="1" applyBorder="1" applyAlignment="1" applyProtection="1">
      <protection locked="0"/>
    </xf>
    <xf numFmtId="0" fontId="9" fillId="16" borderId="0" xfId="6" applyFont="1" applyFill="1" applyBorder="1" applyAlignment="1" applyProtection="1">
      <protection locked="0"/>
    </xf>
    <xf numFmtId="0" fontId="9" fillId="16" borderId="53" xfId="6" applyFont="1" applyFill="1" applyBorder="1" applyAlignment="1" applyProtection="1">
      <protection locked="0"/>
    </xf>
    <xf numFmtId="0" fontId="1" fillId="16" borderId="0" xfId="8" applyFont="1" applyFill="1" applyBorder="1" applyProtection="1"/>
    <xf numFmtId="5" fontId="54" fillId="14" borderId="13" xfId="10" applyNumberFormat="1" applyFont="1" applyFill="1" applyBorder="1" applyProtection="1">
      <protection locked="0"/>
    </xf>
    <xf numFmtId="0" fontId="29" fillId="13" borderId="0" xfId="10" applyFont="1" applyFill="1" applyAlignment="1" applyProtection="1">
      <alignment horizontal="left"/>
      <protection locked="0" hidden="1"/>
    </xf>
    <xf numFmtId="5" fontId="22" fillId="13" borderId="0" xfId="10" applyNumberFormat="1" applyFont="1" applyFill="1" applyBorder="1" applyProtection="1">
      <protection locked="0" hidden="1"/>
    </xf>
    <xf numFmtId="37" fontId="22" fillId="13" borderId="0" xfId="10" applyNumberFormat="1" applyFont="1" applyFill="1" applyBorder="1" applyProtection="1">
      <protection locked="0" hidden="1"/>
    </xf>
    <xf numFmtId="0" fontId="9" fillId="13" borderId="0" xfId="6" applyFont="1" applyFill="1" applyBorder="1" applyAlignment="1" applyProtection="1">
      <protection locked="0" hidden="1"/>
    </xf>
    <xf numFmtId="0" fontId="39" fillId="13" borderId="0" xfId="10" applyFont="1" applyFill="1" applyBorder="1" applyProtection="1">
      <protection locked="0" hidden="1"/>
    </xf>
    <xf numFmtId="0" fontId="14" fillId="13" borderId="0" xfId="8" applyFont="1" applyFill="1" applyBorder="1" applyProtection="1">
      <protection locked="0"/>
    </xf>
    <xf numFmtId="0" fontId="14" fillId="13" borderId="0" xfId="10" applyFont="1" applyFill="1" applyBorder="1" applyAlignment="1" applyProtection="1">
      <alignment horizontal="left"/>
      <protection locked="0"/>
    </xf>
    <xf numFmtId="0" fontId="14" fillId="13" borderId="0" xfId="10" applyFont="1" applyFill="1" applyBorder="1" applyAlignment="1" applyProtection="1">
      <alignment horizontal="right"/>
      <protection locked="0"/>
    </xf>
    <xf numFmtId="0" fontId="10" fillId="13" borderId="0" xfId="10" applyFont="1" applyFill="1" applyAlignment="1" applyProtection="1">
      <alignment horizontal="centerContinuous"/>
      <protection locked="0" hidden="1"/>
    </xf>
    <xf numFmtId="37" fontId="14" fillId="13" borderId="0" xfId="10" applyNumberFormat="1" applyFont="1" applyFill="1" applyBorder="1" applyAlignment="1" applyProtection="1">
      <alignment horizontal="centerContinuous"/>
      <protection locked="0" hidden="1"/>
    </xf>
    <xf numFmtId="0" fontId="2" fillId="13" borderId="0" xfId="10" applyFont="1" applyFill="1" applyBorder="1" applyAlignment="1" applyProtection="1">
      <protection locked="0" hidden="1"/>
    </xf>
    <xf numFmtId="0" fontId="14" fillId="13" borderId="0" xfId="10" applyFont="1" applyFill="1" applyBorder="1" applyAlignment="1" applyProtection="1">
      <alignment horizontal="center"/>
      <protection locked="0"/>
    </xf>
    <xf numFmtId="0" fontId="39" fillId="13" borderId="0" xfId="10" applyFont="1" applyFill="1" applyBorder="1" applyAlignment="1" applyProtection="1">
      <alignment horizontal="center"/>
      <protection locked="0" hidden="1"/>
    </xf>
    <xf numFmtId="0" fontId="40" fillId="13" borderId="0" xfId="10" applyFont="1" applyFill="1" applyBorder="1" applyAlignment="1" applyProtection="1">
      <alignment horizontal="centerContinuous"/>
      <protection locked="0" hidden="1"/>
    </xf>
    <xf numFmtId="0" fontId="9" fillId="13" borderId="0" xfId="10" applyFont="1" applyFill="1" applyAlignment="1" applyProtection="1">
      <alignment horizontal="centerContinuous"/>
      <protection locked="0" hidden="1"/>
    </xf>
    <xf numFmtId="5" fontId="22" fillId="13" borderId="0" xfId="5" applyFont="1" applyFill="1" applyBorder="1" applyProtection="1">
      <protection locked="0" hidden="1"/>
    </xf>
    <xf numFmtId="38" fontId="22" fillId="13" borderId="0" xfId="10" applyNumberFormat="1" applyFont="1" applyFill="1" applyBorder="1" applyProtection="1">
      <protection locked="0" hidden="1"/>
    </xf>
    <xf numFmtId="38" fontId="32" fillId="13" borderId="0" xfId="10" applyNumberFormat="1" applyFont="1" applyFill="1" applyBorder="1" applyProtection="1">
      <protection locked="0"/>
    </xf>
    <xf numFmtId="0" fontId="26" fillId="13" borderId="0" xfId="10" applyFont="1" applyFill="1" applyAlignment="1" applyProtection="1">
      <alignment horizontal="centerContinuous"/>
      <protection locked="0"/>
    </xf>
    <xf numFmtId="0" fontId="26" fillId="13" borderId="0" xfId="10" applyFont="1" applyFill="1" applyProtection="1">
      <protection locked="0"/>
    </xf>
    <xf numFmtId="0" fontId="10" fillId="13" borderId="0" xfId="10" applyFont="1" applyFill="1" applyAlignment="1" applyProtection="1">
      <protection locked="0"/>
    </xf>
    <xf numFmtId="0" fontId="4" fillId="13" borderId="0" xfId="10" applyFont="1" applyFill="1" applyAlignment="1" applyProtection="1">
      <alignment horizontal="left"/>
      <protection locked="0" hidden="1"/>
    </xf>
    <xf numFmtId="0" fontId="2" fillId="16" borderId="0" xfId="8" applyFont="1" applyFill="1" applyBorder="1" applyProtection="1">
      <protection locked="0"/>
    </xf>
    <xf numFmtId="0" fontId="10" fillId="16" borderId="0" xfId="8" applyFont="1" applyFill="1" applyBorder="1" applyProtection="1">
      <protection locked="0"/>
    </xf>
    <xf numFmtId="0" fontId="14" fillId="16" borderId="53" xfId="8" applyFont="1" applyFill="1" applyBorder="1" applyProtection="1">
      <protection locked="0"/>
    </xf>
    <xf numFmtId="0" fontId="14" fillId="16" borderId="0" xfId="8" applyFont="1" applyFill="1" applyBorder="1" applyAlignment="1" applyProtection="1">
      <alignment horizontal="centerContinuous"/>
      <protection locked="0"/>
    </xf>
    <xf numFmtId="0" fontId="14" fillId="16" borderId="54" xfId="10" applyFont="1" applyFill="1" applyBorder="1" applyAlignment="1" applyProtection="1">
      <alignment horizontal="centerContinuous"/>
      <protection locked="0" hidden="1"/>
    </xf>
    <xf numFmtId="0" fontId="14" fillId="16" borderId="55" xfId="10" applyFont="1" applyFill="1" applyBorder="1" applyProtection="1">
      <protection locked="0" hidden="1"/>
    </xf>
    <xf numFmtId="37" fontId="22" fillId="16" borderId="55" xfId="10" applyNumberFormat="1" applyFont="1" applyFill="1" applyBorder="1" applyProtection="1">
      <protection locked="0" hidden="1"/>
    </xf>
    <xf numFmtId="37" fontId="14" fillId="16" borderId="55" xfId="10" applyNumberFormat="1" applyFont="1" applyFill="1" applyBorder="1" applyProtection="1">
      <protection locked="0" hidden="1"/>
    </xf>
    <xf numFmtId="0" fontId="9" fillId="16" borderId="55" xfId="6" applyFont="1" applyFill="1" applyBorder="1" applyAlignment="1" applyProtection="1">
      <protection locked="0"/>
    </xf>
    <xf numFmtId="0" fontId="1" fillId="16" borderId="0" xfId="10" applyFont="1" applyFill="1" applyBorder="1" applyProtection="1">
      <protection hidden="1"/>
    </xf>
    <xf numFmtId="5" fontId="1" fillId="16" borderId="0" xfId="10" applyNumberFormat="1" applyFont="1" applyFill="1" applyBorder="1" applyProtection="1"/>
    <xf numFmtId="5" fontId="1" fillId="14" borderId="13" xfId="10" applyNumberFormat="1" applyFont="1" applyFill="1" applyBorder="1" applyProtection="1">
      <protection locked="0"/>
    </xf>
    <xf numFmtId="37" fontId="1" fillId="16" borderId="10" xfId="10" applyNumberFormat="1" applyFont="1" applyFill="1" applyBorder="1" applyProtection="1">
      <protection locked="0"/>
    </xf>
    <xf numFmtId="0" fontId="3" fillId="16" borderId="0" xfId="8" applyFont="1" applyFill="1" applyBorder="1" applyProtection="1">
      <protection locked="0"/>
    </xf>
    <xf numFmtId="0" fontId="1" fillId="16" borderId="0" xfId="8" applyFont="1" applyFill="1" applyBorder="1" applyAlignment="1" applyProtection="1">
      <alignment horizontal="centerContinuous"/>
      <protection locked="0"/>
    </xf>
    <xf numFmtId="37" fontId="54" fillId="16" borderId="10" xfId="10" applyNumberFormat="1" applyFont="1" applyFill="1" applyBorder="1" applyProtection="1">
      <protection locked="0"/>
    </xf>
    <xf numFmtId="3" fontId="54" fillId="16" borderId="0" xfId="10" applyNumberFormat="1" applyFont="1" applyFill="1" applyBorder="1" applyProtection="1">
      <protection locked="0"/>
    </xf>
    <xf numFmtId="5" fontId="54" fillId="16" borderId="18" xfId="10" applyNumberFormat="1" applyFont="1" applyFill="1" applyBorder="1" applyProtection="1">
      <protection hidden="1"/>
    </xf>
    <xf numFmtId="0" fontId="9" fillId="16" borderId="0" xfId="6" applyFill="1" applyBorder="1" applyAlignment="1" applyProtection="1">
      <protection hidden="1"/>
    </xf>
    <xf numFmtId="0" fontId="3" fillId="16" borderId="52" xfId="8" applyFont="1" applyFill="1" applyBorder="1" applyAlignment="1" applyProtection="1">
      <alignment horizontal="center"/>
      <protection locked="0"/>
    </xf>
    <xf numFmtId="0" fontId="4" fillId="13" borderId="0" xfId="10" applyFont="1" applyFill="1" applyAlignment="1" applyProtection="1">
      <alignment horizontal="left"/>
      <protection hidden="1"/>
    </xf>
    <xf numFmtId="0" fontId="14" fillId="13" borderId="0" xfId="10" applyFont="1" applyFill="1" applyBorder="1" applyAlignment="1" applyProtection="1">
      <alignment horizontal="left"/>
      <protection locked="0" hidden="1"/>
    </xf>
    <xf numFmtId="0" fontId="1" fillId="13" borderId="0" xfId="10" applyFont="1" applyFill="1" applyBorder="1" applyAlignment="1" applyProtection="1">
      <alignment horizontal="left"/>
      <protection hidden="1"/>
    </xf>
    <xf numFmtId="0" fontId="1" fillId="16" borderId="0" xfId="10" applyFont="1" applyFill="1" applyBorder="1" applyAlignment="1" applyProtection="1">
      <alignment horizontal="left"/>
      <protection locked="0" hidden="1"/>
    </xf>
    <xf numFmtId="5" fontId="1" fillId="16" borderId="10" xfId="8" applyNumberFormat="1" applyFont="1" applyFill="1" applyBorder="1" applyProtection="1"/>
    <xf numFmtId="5" fontId="1" fillId="16" borderId="10" xfId="10" applyNumberFormat="1" applyFont="1" applyFill="1" applyBorder="1" applyProtection="1"/>
    <xf numFmtId="0" fontId="1" fillId="16" borderId="7" xfId="10" applyFont="1" applyFill="1" applyBorder="1" applyAlignment="1" applyProtection="1">
      <alignment horizontal="centerContinuous"/>
      <protection locked="0"/>
    </xf>
    <xf numFmtId="5" fontId="1" fillId="16" borderId="10" xfId="10" applyNumberFormat="1" applyFont="1" applyFill="1" applyBorder="1" applyAlignment="1" applyProtection="1">
      <alignment horizontal="right"/>
    </xf>
    <xf numFmtId="5" fontId="1" fillId="16" borderId="18" xfId="10" applyNumberFormat="1" applyFont="1" applyFill="1" applyBorder="1" applyAlignment="1" applyProtection="1">
      <alignment horizontal="right"/>
    </xf>
    <xf numFmtId="5" fontId="1" fillId="16" borderId="7" xfId="10" applyNumberFormat="1" applyFont="1" applyFill="1" applyBorder="1" applyProtection="1">
      <protection locked="0" hidden="1"/>
    </xf>
    <xf numFmtId="5" fontId="1" fillId="16" borderId="7" xfId="10" applyNumberFormat="1" applyFont="1" applyFill="1" applyBorder="1" applyProtection="1">
      <protection locked="0"/>
    </xf>
    <xf numFmtId="0" fontId="3" fillId="16" borderId="0" xfId="10" applyFont="1" applyFill="1" applyBorder="1" applyAlignment="1" applyProtection="1">
      <alignment horizontal="centerContinuous"/>
      <protection locked="0"/>
    </xf>
    <xf numFmtId="0" fontId="3" fillId="16" borderId="49" xfId="10" applyFont="1" applyFill="1" applyBorder="1" applyAlignment="1" applyProtection="1">
      <alignment horizontal="centerContinuous"/>
      <protection locked="0" hidden="1"/>
    </xf>
    <xf numFmtId="0" fontId="3" fillId="16" borderId="50" xfId="10" applyFont="1" applyFill="1" applyBorder="1" applyProtection="1">
      <protection locked="0" hidden="1"/>
    </xf>
    <xf numFmtId="37" fontId="3" fillId="16" borderId="50" xfId="10" applyNumberFormat="1" applyFont="1" applyFill="1" applyBorder="1" applyAlignment="1" applyProtection="1">
      <alignment horizontal="centerContinuous"/>
      <protection locked="0" hidden="1"/>
    </xf>
    <xf numFmtId="0" fontId="3" fillId="16" borderId="0" xfId="10" applyFont="1" applyFill="1" applyBorder="1" applyAlignment="1" applyProtection="1">
      <alignment horizontal="center"/>
      <protection locked="0"/>
    </xf>
    <xf numFmtId="0" fontId="2" fillId="16" borderId="0" xfId="8" applyFill="1" applyBorder="1"/>
    <xf numFmtId="0" fontId="2" fillId="16" borderId="53" xfId="8" applyFill="1" applyBorder="1"/>
    <xf numFmtId="0" fontId="14" fillId="16" borderId="54" xfId="10" applyFont="1" applyFill="1" applyBorder="1" applyAlignment="1" applyProtection="1">
      <alignment horizontal="left"/>
      <protection locked="0" hidden="1"/>
    </xf>
    <xf numFmtId="0" fontId="14" fillId="16" borderId="55" xfId="10" applyFont="1" applyFill="1" applyBorder="1" applyAlignment="1" applyProtection="1">
      <alignment horizontal="right"/>
      <protection locked="0"/>
    </xf>
    <xf numFmtId="0" fontId="14" fillId="16" borderId="56" xfId="10" applyFont="1" applyFill="1" applyBorder="1" applyAlignment="1" applyProtection="1">
      <alignment horizontal="right"/>
      <protection locked="0"/>
    </xf>
    <xf numFmtId="0" fontId="3" fillId="16" borderId="50" xfId="10" applyFont="1" applyFill="1" applyBorder="1" applyProtection="1">
      <protection locked="0"/>
    </xf>
    <xf numFmtId="0" fontId="3" fillId="16" borderId="50" xfId="10" applyFont="1" applyFill="1" applyBorder="1" applyAlignment="1" applyProtection="1">
      <alignment horizontal="center"/>
      <protection locked="0"/>
    </xf>
    <xf numFmtId="5" fontId="1" fillId="16" borderId="7" xfId="10" applyNumberFormat="1" applyFont="1" applyFill="1" applyBorder="1" applyProtection="1">
      <protection hidden="1"/>
    </xf>
    <xf numFmtId="5" fontId="1" fillId="16" borderId="7" xfId="10" applyNumberFormat="1" applyFont="1" applyFill="1" applyBorder="1" applyProtection="1"/>
    <xf numFmtId="0" fontId="1" fillId="16" borderId="7" xfId="10" applyFont="1" applyFill="1" applyBorder="1" applyAlignment="1" applyProtection="1">
      <alignment horizontal="center"/>
      <protection hidden="1"/>
    </xf>
    <xf numFmtId="0" fontId="3" fillId="16" borderId="50" xfId="10" applyFont="1" applyFill="1" applyBorder="1" applyAlignment="1" applyProtection="1">
      <alignment horizontal="center"/>
    </xf>
    <xf numFmtId="0" fontId="39" fillId="16" borderId="50" xfId="10" applyFont="1" applyFill="1" applyBorder="1" applyProtection="1">
      <protection hidden="1"/>
    </xf>
    <xf numFmtId="0" fontId="39" fillId="16" borderId="51" xfId="10" applyFont="1" applyFill="1" applyBorder="1" applyProtection="1">
      <protection hidden="1"/>
    </xf>
    <xf numFmtId="0" fontId="40" fillId="16" borderId="0" xfId="10" applyFont="1" applyFill="1" applyBorder="1" applyAlignment="1" applyProtection="1">
      <alignment horizontal="centerContinuous"/>
      <protection hidden="1"/>
    </xf>
    <xf numFmtId="0" fontId="9" fillId="16" borderId="53" xfId="6" applyFill="1" applyBorder="1" applyAlignment="1" applyProtection="1">
      <protection hidden="1"/>
    </xf>
    <xf numFmtId="0" fontId="9" fillId="16" borderId="0" xfId="6" applyFont="1" applyFill="1" applyBorder="1" applyAlignment="1" applyProtection="1">
      <protection hidden="1"/>
    </xf>
    <xf numFmtId="0" fontId="9" fillId="16" borderId="53" xfId="6" applyFont="1" applyFill="1" applyBorder="1" applyAlignment="1" applyProtection="1">
      <protection hidden="1"/>
    </xf>
    <xf numFmtId="0" fontId="25" fillId="16" borderId="0" xfId="10" applyFont="1" applyFill="1" applyBorder="1" applyAlignment="1" applyProtection="1">
      <alignment horizontal="centerContinuous"/>
    </xf>
    <xf numFmtId="0" fontId="3" fillId="16" borderId="50" xfId="10" applyFont="1" applyFill="1" applyBorder="1" applyAlignment="1" applyProtection="1">
      <alignment horizontal="centerContinuous"/>
      <protection hidden="1"/>
    </xf>
    <xf numFmtId="0" fontId="39" fillId="16" borderId="50" xfId="10" applyFont="1" applyFill="1" applyBorder="1" applyAlignment="1" applyProtection="1">
      <protection hidden="1"/>
    </xf>
    <xf numFmtId="0" fontId="39" fillId="16" borderId="51" xfId="10" applyFont="1" applyFill="1" applyBorder="1" applyAlignment="1" applyProtection="1">
      <alignment horizontal="centerContinuous"/>
      <protection hidden="1"/>
    </xf>
    <xf numFmtId="0" fontId="2" fillId="16" borderId="0" xfId="8" applyFill="1" applyBorder="1" applyProtection="1"/>
    <xf numFmtId="0" fontId="2" fillId="16" borderId="53" xfId="8" applyFill="1" applyBorder="1" applyProtection="1"/>
    <xf numFmtId="37" fontId="15" fillId="16" borderId="0" xfId="7" applyNumberFormat="1" applyFont="1" applyFill="1" applyBorder="1" applyAlignment="1" applyProtection="1">
      <alignment horizontal="center"/>
      <protection locked="0"/>
    </xf>
    <xf numFmtId="0" fontId="15" fillId="16" borderId="0" xfId="7" applyFont="1" applyFill="1" applyBorder="1" applyProtection="1">
      <protection locked="0"/>
    </xf>
    <xf numFmtId="0" fontId="15" fillId="16" borderId="0" xfId="7" applyFont="1" applyFill="1" applyBorder="1" applyAlignment="1" applyProtection="1">
      <alignment horizontal="center"/>
      <protection locked="0"/>
    </xf>
    <xf numFmtId="0" fontId="58" fillId="16" borderId="0" xfId="7" applyFont="1" applyFill="1" applyBorder="1" applyAlignment="1" applyProtection="1">
      <alignment horizontal="centerContinuous"/>
      <protection locked="0"/>
    </xf>
    <xf numFmtId="0" fontId="15" fillId="16" borderId="0" xfId="7" applyFont="1" applyFill="1" applyBorder="1" applyAlignment="1" applyProtection="1">
      <alignment horizontal="centerContinuous"/>
      <protection locked="0"/>
    </xf>
    <xf numFmtId="0" fontId="15" fillId="16" borderId="10" xfId="7" applyFont="1" applyFill="1" applyBorder="1" applyAlignment="1" applyProtection="1">
      <alignment horizontal="center"/>
      <protection locked="0"/>
    </xf>
    <xf numFmtId="37" fontId="15" fillId="16" borderId="10" xfId="7" applyNumberFormat="1" applyFont="1" applyFill="1" applyBorder="1" applyAlignment="1" applyProtection="1">
      <alignment horizontal="center"/>
      <protection locked="0"/>
    </xf>
    <xf numFmtId="0" fontId="15" fillId="16" borderId="10" xfId="7" applyFont="1" applyFill="1" applyBorder="1" applyAlignment="1" applyProtection="1">
      <alignment horizontal="centerContinuous"/>
      <protection locked="0"/>
    </xf>
    <xf numFmtId="0" fontId="64" fillId="16" borderId="0" xfId="7" applyFont="1" applyFill="1" applyBorder="1" applyProtection="1">
      <protection locked="0"/>
    </xf>
    <xf numFmtId="37" fontId="15" fillId="16" borderId="10" xfId="7" applyNumberFormat="1" applyFont="1" applyFill="1" applyBorder="1" applyAlignment="1" applyProtection="1">
      <alignment horizontal="centerContinuous"/>
      <protection locked="0"/>
    </xf>
    <xf numFmtId="0" fontId="3" fillId="16" borderId="7" xfId="7" applyFont="1" applyFill="1" applyBorder="1" applyAlignment="1" applyProtection="1">
      <alignment horizontal="center"/>
    </xf>
    <xf numFmtId="0" fontId="3" fillId="16" borderId="7" xfId="7" applyFont="1" applyFill="1" applyBorder="1" applyProtection="1">
      <protection locked="0"/>
    </xf>
    <xf numFmtId="37" fontId="3" fillId="16" borderId="7" xfId="7" applyNumberFormat="1" applyFont="1" applyFill="1" applyBorder="1" applyAlignment="1" applyProtection="1">
      <alignment horizontal="center"/>
      <protection locked="0"/>
    </xf>
    <xf numFmtId="0" fontId="3" fillId="16" borderId="8" xfId="7" applyFont="1" applyFill="1" applyBorder="1" applyAlignment="1" applyProtection="1">
      <alignment horizontal="center"/>
      <protection locked="0"/>
    </xf>
    <xf numFmtId="0" fontId="3" fillId="16" borderId="0" xfId="7" applyFont="1" applyFill="1" applyBorder="1" applyProtection="1">
      <protection locked="0"/>
    </xf>
    <xf numFmtId="37" fontId="3" fillId="16" borderId="0" xfId="7" applyNumberFormat="1" applyFont="1" applyFill="1" applyBorder="1" applyAlignment="1" applyProtection="1">
      <alignment horizontal="center"/>
      <protection locked="0"/>
    </xf>
    <xf numFmtId="0" fontId="3" fillId="16" borderId="17" xfId="7" applyFont="1" applyFill="1" applyBorder="1" applyAlignment="1" applyProtection="1">
      <alignment horizontal="center"/>
      <protection locked="0"/>
    </xf>
    <xf numFmtId="37" fontId="54" fillId="16" borderId="0" xfId="7" applyNumberFormat="1" applyFont="1" applyFill="1" applyBorder="1" applyProtection="1"/>
    <xf numFmtId="5" fontId="54" fillId="16" borderId="17" xfId="7" applyNumberFormat="1" applyFont="1" applyFill="1" applyBorder="1" applyProtection="1"/>
    <xf numFmtId="0" fontId="54" fillId="16" borderId="17" xfId="7" applyFont="1" applyFill="1" applyBorder="1" applyProtection="1">
      <protection locked="0"/>
    </xf>
    <xf numFmtId="37" fontId="54" fillId="14" borderId="13" xfId="7" applyNumberFormat="1" applyFont="1" applyFill="1" applyBorder="1" applyProtection="1">
      <protection locked="0"/>
    </xf>
    <xf numFmtId="37" fontId="54" fillId="16" borderId="17" xfId="7" applyNumberFormat="1" applyFont="1" applyFill="1" applyBorder="1" applyProtection="1">
      <protection locked="0"/>
    </xf>
    <xf numFmtId="37" fontId="54" fillId="16" borderId="10" xfId="7" applyNumberFormat="1" applyFont="1" applyFill="1" applyBorder="1" applyProtection="1"/>
    <xf numFmtId="7" fontId="54" fillId="16" borderId="10" xfId="7" applyNumberFormat="1" applyFont="1" applyFill="1" applyBorder="1" applyProtection="1"/>
    <xf numFmtId="5" fontId="54" fillId="16" borderId="18" xfId="7" applyNumberFormat="1" applyFont="1" applyFill="1" applyBorder="1" applyProtection="1"/>
    <xf numFmtId="5" fontId="54" fillId="16" borderId="11" xfId="7" applyNumberFormat="1" applyFont="1" applyFill="1" applyBorder="1" applyProtection="1"/>
    <xf numFmtId="37" fontId="54" fillId="16" borderId="17" xfId="7" applyNumberFormat="1" applyFont="1" applyFill="1" applyBorder="1" applyAlignment="1" applyProtection="1">
      <alignment horizontal="fill"/>
      <protection locked="0"/>
    </xf>
    <xf numFmtId="0" fontId="54" fillId="16" borderId="10" xfId="7" applyFont="1" applyFill="1" applyBorder="1" applyAlignment="1" applyProtection="1">
      <alignment horizontal="left"/>
      <protection locked="0"/>
    </xf>
    <xf numFmtId="0" fontId="54" fillId="16" borderId="10" xfId="7" applyFont="1" applyFill="1" applyBorder="1" applyProtection="1">
      <protection locked="0"/>
    </xf>
    <xf numFmtId="37" fontId="54" fillId="16" borderId="10" xfId="7" applyNumberFormat="1" applyFont="1" applyFill="1" applyBorder="1" applyProtection="1">
      <protection locked="0"/>
    </xf>
    <xf numFmtId="0" fontId="14" fillId="13" borderId="0" xfId="10" applyFont="1" applyFill="1" applyAlignment="1" applyProtection="1">
      <alignment horizontal="center"/>
      <protection locked="0"/>
    </xf>
    <xf numFmtId="171" fontId="14" fillId="13" borderId="0" xfId="10" applyNumberFormat="1" applyFont="1" applyFill="1" applyAlignment="1" applyProtection="1">
      <alignment horizontal="center"/>
      <protection locked="0"/>
    </xf>
    <xf numFmtId="0" fontId="1" fillId="13" borderId="0" xfId="10" applyFont="1" applyFill="1" applyAlignment="1" applyProtection="1">
      <alignment horizontal="right"/>
    </xf>
    <xf numFmtId="0" fontId="1" fillId="13" borderId="0" xfId="10" applyFont="1" applyFill="1" applyAlignment="1" applyProtection="1"/>
    <xf numFmtId="0" fontId="3" fillId="16" borderId="0" xfId="7" applyFont="1" applyFill="1" applyBorder="1" applyAlignment="1" applyProtection="1">
      <alignment horizontal="center" wrapText="1"/>
    </xf>
    <xf numFmtId="0" fontId="25" fillId="16" borderId="10" xfId="10" applyFont="1" applyFill="1" applyBorder="1" applyAlignment="1" applyProtection="1">
      <alignment horizontal="center"/>
    </xf>
    <xf numFmtId="37" fontId="3" fillId="16" borderId="10" xfId="10" applyNumberFormat="1" applyFont="1" applyFill="1" applyBorder="1" applyAlignment="1" applyProtection="1">
      <alignment horizontal="center"/>
    </xf>
    <xf numFmtId="0" fontId="1" fillId="16" borderId="10" xfId="10" applyFont="1" applyFill="1" applyBorder="1" applyProtection="1"/>
    <xf numFmtId="0" fontId="1" fillId="16" borderId="10" xfId="10" applyFont="1" applyFill="1" applyBorder="1" applyAlignment="1" applyProtection="1"/>
    <xf numFmtId="37" fontId="3" fillId="16" borderId="0" xfId="10" applyNumberFormat="1" applyFont="1" applyFill="1" applyBorder="1" applyAlignment="1" applyProtection="1">
      <alignment horizontal="centerContinuous"/>
    </xf>
    <xf numFmtId="0" fontId="28" fillId="16" borderId="0" xfId="10" applyFont="1" applyFill="1" applyBorder="1" applyAlignment="1" applyProtection="1">
      <alignment horizontal="center"/>
    </xf>
    <xf numFmtId="0" fontId="3" fillId="16" borderId="10" xfId="10" applyFont="1" applyFill="1" applyBorder="1" applyAlignment="1" applyProtection="1">
      <alignment horizontal="centerContinuous"/>
    </xf>
    <xf numFmtId="37" fontId="1" fillId="16" borderId="26" xfId="10" applyNumberFormat="1" applyFont="1" applyFill="1" applyBorder="1" applyProtection="1">
      <protection locked="0"/>
    </xf>
    <xf numFmtId="0" fontId="1" fillId="16" borderId="7" xfId="10" applyFont="1" applyFill="1" applyBorder="1" applyProtection="1">
      <protection locked="0"/>
    </xf>
    <xf numFmtId="0" fontId="14" fillId="16" borderId="10" xfId="10" applyFont="1" applyFill="1" applyBorder="1" applyProtection="1">
      <protection locked="0"/>
    </xf>
    <xf numFmtId="5" fontId="1" fillId="13" borderId="0" xfId="10" applyNumberFormat="1" applyFont="1" applyFill="1" applyProtection="1">
      <protection locked="0"/>
    </xf>
    <xf numFmtId="0" fontId="1" fillId="16" borderId="10" xfId="10" applyFont="1" applyFill="1" applyBorder="1" applyProtection="1">
      <protection locked="0"/>
    </xf>
    <xf numFmtId="37" fontId="1" fillId="16" borderId="27" xfId="10" applyNumberFormat="1" applyFont="1" applyFill="1" applyBorder="1" applyProtection="1">
      <protection locked="0"/>
    </xf>
    <xf numFmtId="0" fontId="1" fillId="16" borderId="27" xfId="10" applyFont="1" applyFill="1" applyBorder="1" applyProtection="1">
      <protection locked="0"/>
    </xf>
    <xf numFmtId="0" fontId="3" fillId="16" borderId="10" xfId="10" applyFont="1" applyFill="1" applyBorder="1" applyProtection="1">
      <protection locked="0"/>
    </xf>
    <xf numFmtId="5" fontId="3" fillId="16" borderId="10" xfId="10" applyNumberFormat="1" applyFont="1" applyFill="1" applyBorder="1" applyProtection="1"/>
    <xf numFmtId="5" fontId="3" fillId="16" borderId="10" xfId="10" applyNumberFormat="1" applyFont="1" applyFill="1" applyBorder="1" applyAlignment="1" applyProtection="1">
      <alignment horizontal="center"/>
    </xf>
    <xf numFmtId="0" fontId="1" fillId="16" borderId="49" xfId="10" applyFont="1" applyFill="1" applyBorder="1" applyAlignment="1" applyProtection="1">
      <alignment horizontal="centerContinuous"/>
    </xf>
    <xf numFmtId="0" fontId="25" fillId="16" borderId="50" xfId="10" applyFont="1" applyFill="1" applyBorder="1" applyAlignment="1" applyProtection="1">
      <alignment horizontal="center"/>
    </xf>
    <xf numFmtId="37" fontId="3" fillId="16" borderId="50" xfId="10" applyNumberFormat="1" applyFont="1" applyFill="1" applyBorder="1" applyAlignment="1" applyProtection="1">
      <alignment horizontal="centerContinuous"/>
    </xf>
    <xf numFmtId="0" fontId="3" fillId="16" borderId="50" xfId="7" applyFont="1" applyFill="1" applyBorder="1" applyAlignment="1" applyProtection="1">
      <alignment horizontal="center" wrapText="1"/>
    </xf>
    <xf numFmtId="0" fontId="3" fillId="16" borderId="50" xfId="7" applyFont="1" applyFill="1" applyBorder="1" applyAlignment="1" applyProtection="1">
      <alignment horizontal="center"/>
    </xf>
    <xf numFmtId="0" fontId="3" fillId="16" borderId="50" xfId="10" applyFont="1" applyFill="1" applyBorder="1" applyAlignment="1" applyProtection="1">
      <alignment horizontal="centerContinuous"/>
    </xf>
    <xf numFmtId="0" fontId="3" fillId="16" borderId="52" xfId="10" applyFont="1" applyFill="1" applyBorder="1" applyAlignment="1" applyProtection="1">
      <alignment horizontal="centerContinuous"/>
    </xf>
    <xf numFmtId="0" fontId="1" fillId="16" borderId="65" xfId="10" applyFont="1" applyFill="1" applyBorder="1" applyAlignment="1" applyProtection="1">
      <alignment horizontal="centerContinuous"/>
    </xf>
    <xf numFmtId="37" fontId="1" fillId="16" borderId="0" xfId="10" applyNumberFormat="1" applyFont="1" applyFill="1" applyBorder="1" applyAlignment="1" applyProtection="1">
      <alignment horizontal="right"/>
      <protection locked="0"/>
    </xf>
    <xf numFmtId="5" fontId="1" fillId="16" borderId="55" xfId="10" applyNumberFormat="1" applyFont="1" applyFill="1" applyBorder="1" applyProtection="1">
      <protection locked="0"/>
    </xf>
    <xf numFmtId="0" fontId="3" fillId="16" borderId="49" xfId="10" applyFont="1" applyFill="1" applyBorder="1" applyAlignment="1" applyProtection="1">
      <alignment horizontal="centerContinuous"/>
      <protection locked="0"/>
    </xf>
    <xf numFmtId="0" fontId="3" fillId="16" borderId="65" xfId="10" applyFont="1" applyFill="1" applyBorder="1" applyAlignment="1" applyProtection="1">
      <alignment horizontal="centerContinuous"/>
      <protection locked="0"/>
    </xf>
    <xf numFmtId="171" fontId="14" fillId="16" borderId="55" xfId="10" applyNumberFormat="1" applyFont="1" applyFill="1" applyBorder="1" applyAlignment="1" applyProtection="1">
      <alignment horizontal="center"/>
      <protection locked="0"/>
    </xf>
    <xf numFmtId="37" fontId="1" fillId="16" borderId="26" xfId="10" applyNumberFormat="1" applyFont="1" applyFill="1" applyBorder="1" applyProtection="1"/>
    <xf numFmtId="37" fontId="1" fillId="16" borderId="0" xfId="10" applyNumberFormat="1" applyFont="1" applyFill="1" applyBorder="1" applyAlignment="1" applyProtection="1">
      <alignment horizontal="right"/>
    </xf>
    <xf numFmtId="0" fontId="1" fillId="16" borderId="7" xfId="10" applyFont="1" applyFill="1" applyBorder="1" applyProtection="1"/>
    <xf numFmtId="0" fontId="2" fillId="13" borderId="10" xfId="10" applyFont="1" applyFill="1" applyBorder="1" applyProtection="1">
      <protection locked="0"/>
    </xf>
    <xf numFmtId="5" fontId="14" fillId="13" borderId="0" xfId="5" applyFont="1" applyFill="1" applyProtection="1">
      <protection locked="0"/>
    </xf>
    <xf numFmtId="10" fontId="2" fillId="13" borderId="0" xfId="11" applyNumberFormat="1" applyFont="1" applyFill="1" applyProtection="1">
      <protection locked="0"/>
    </xf>
    <xf numFmtId="0" fontId="1" fillId="13" borderId="0" xfId="10" applyFont="1" applyFill="1" applyBorder="1" applyAlignment="1" applyProtection="1">
      <alignment horizontal="centerContinuous"/>
    </xf>
    <xf numFmtId="0" fontId="14" fillId="16" borderId="49" xfId="10" applyFont="1" applyFill="1" applyBorder="1" applyAlignment="1" applyProtection="1">
      <protection locked="0"/>
    </xf>
    <xf numFmtId="0" fontId="14" fillId="16" borderId="50" xfId="10" applyFont="1" applyFill="1" applyBorder="1" applyAlignment="1" applyProtection="1">
      <alignment horizontal="centerContinuous"/>
      <protection locked="0"/>
    </xf>
    <xf numFmtId="0" fontId="2" fillId="16" borderId="50" xfId="10" applyFont="1" applyFill="1" applyBorder="1" applyAlignment="1" applyProtection="1">
      <alignment horizontal="centerContinuous"/>
      <protection locked="0"/>
    </xf>
    <xf numFmtId="0" fontId="3" fillId="16" borderId="53" xfId="10" applyFont="1" applyFill="1" applyBorder="1" applyAlignment="1" applyProtection="1">
      <alignment horizontal="centerContinuous"/>
      <protection locked="0"/>
    </xf>
    <xf numFmtId="5" fontId="14" fillId="16" borderId="53" xfId="5" applyFont="1" applyFill="1" applyBorder="1" applyProtection="1">
      <protection locked="0"/>
    </xf>
    <xf numFmtId="37" fontId="14" fillId="16" borderId="53" xfId="10" applyNumberFormat="1" applyFont="1" applyFill="1" applyBorder="1" applyProtection="1">
      <protection locked="0"/>
    </xf>
    <xf numFmtId="0" fontId="2" fillId="16" borderId="53" xfId="10" applyFont="1" applyFill="1" applyBorder="1" applyAlignment="1" applyProtection="1">
      <alignment horizontal="centerContinuous"/>
      <protection locked="0"/>
    </xf>
    <xf numFmtId="0" fontId="14" fillId="16" borderId="53" xfId="10" applyFont="1" applyFill="1" applyBorder="1" applyProtection="1">
      <protection locked="0"/>
    </xf>
    <xf numFmtId="10" fontId="2" fillId="16" borderId="53" xfId="11" applyNumberFormat="1" applyFont="1" applyFill="1" applyBorder="1" applyProtection="1">
      <protection locked="0"/>
    </xf>
    <xf numFmtId="0" fontId="54" fillId="16" borderId="52" xfId="10" applyFont="1" applyFill="1" applyBorder="1" applyProtection="1">
      <protection locked="0"/>
    </xf>
    <xf numFmtId="0" fontId="57" fillId="16" borderId="0" xfId="10" applyFont="1" applyFill="1" applyBorder="1" applyAlignment="1" applyProtection="1">
      <alignment horizontal="centerContinuous"/>
      <protection locked="0"/>
    </xf>
    <xf numFmtId="0" fontId="15" fillId="16" borderId="52" xfId="10" applyFont="1" applyFill="1" applyBorder="1" applyProtection="1">
      <protection locked="0"/>
    </xf>
    <xf numFmtId="0" fontId="54" fillId="16" borderId="0" xfId="10" applyFont="1" applyFill="1" applyBorder="1" applyAlignment="1" applyProtection="1">
      <alignment horizontal="right"/>
      <protection locked="0"/>
    </xf>
    <xf numFmtId="37" fontId="54" fillId="16" borderId="0" xfId="5" applyNumberFormat="1" applyFont="1" applyFill="1" applyBorder="1" applyProtection="1"/>
    <xf numFmtId="37" fontId="54" fillId="16" borderId="10" xfId="5" applyNumberFormat="1" applyFont="1" applyFill="1" applyBorder="1" applyProtection="1"/>
    <xf numFmtId="5" fontId="54" fillId="16" borderId="18" xfId="5" applyFont="1" applyFill="1" applyBorder="1" applyProtection="1"/>
    <xf numFmtId="0" fontId="54" fillId="16" borderId="65" xfId="10" applyFont="1" applyFill="1" applyBorder="1" applyProtection="1">
      <protection locked="0"/>
    </xf>
    <xf numFmtId="0" fontId="54" fillId="16" borderId="10" xfId="10" applyFont="1" applyFill="1" applyBorder="1" applyProtection="1">
      <protection locked="0"/>
    </xf>
    <xf numFmtId="0" fontId="54" fillId="16" borderId="10" xfId="10" applyFont="1" applyFill="1" applyBorder="1" applyAlignment="1" applyProtection="1">
      <alignment horizontal="right"/>
      <protection locked="0"/>
    </xf>
    <xf numFmtId="37" fontId="54" fillId="16" borderId="0" xfId="10" applyNumberFormat="1" applyFont="1" applyFill="1" applyBorder="1" applyAlignment="1" applyProtection="1">
      <alignment horizontal="right"/>
      <protection locked="0"/>
    </xf>
    <xf numFmtId="5" fontId="54" fillId="16" borderId="0" xfId="5" applyFont="1" applyFill="1" applyBorder="1" applyAlignment="1" applyProtection="1">
      <alignment horizontal="right"/>
      <protection locked="0"/>
    </xf>
    <xf numFmtId="5" fontId="54" fillId="16" borderId="28" xfId="5" applyFont="1" applyFill="1" applyBorder="1" applyProtection="1"/>
    <xf numFmtId="10" fontId="54" fillId="14" borderId="13" xfId="11" applyNumberFormat="1" applyFont="1" applyFill="1" applyBorder="1" applyProtection="1">
      <protection locked="0"/>
    </xf>
    <xf numFmtId="10" fontId="54" fillId="16" borderId="10" xfId="11" applyNumberFormat="1" applyFont="1" applyFill="1" applyBorder="1" applyProtection="1">
      <protection locked="0"/>
    </xf>
    <xf numFmtId="9" fontId="54" fillId="16" borderId="0" xfId="11" applyFont="1" applyFill="1" applyBorder="1" applyProtection="1">
      <protection locked="0"/>
    </xf>
    <xf numFmtId="0" fontId="15" fillId="16" borderId="0" xfId="10" applyFont="1" applyFill="1" applyBorder="1" applyProtection="1"/>
    <xf numFmtId="10" fontId="54" fillId="16" borderId="10" xfId="11" applyNumberFormat="1" applyFont="1" applyFill="1" applyBorder="1" applyProtection="1"/>
    <xf numFmtId="0" fontId="54" fillId="16" borderId="10" xfId="10" applyFont="1" applyFill="1" applyBorder="1" applyProtection="1"/>
    <xf numFmtId="0" fontId="58" fillId="16" borderId="0" xfId="10" applyFont="1" applyFill="1" applyBorder="1" applyAlignment="1" applyProtection="1">
      <alignment horizontal="centerContinuous"/>
    </xf>
    <xf numFmtId="0" fontId="54" fillId="16" borderId="0" xfId="10" applyFont="1" applyFill="1" applyBorder="1" applyAlignment="1" applyProtection="1">
      <alignment horizontal="centerContinuous"/>
    </xf>
    <xf numFmtId="0" fontId="54" fillId="16" borderId="0" xfId="10" applyNumberFormat="1" applyFont="1" applyFill="1" applyBorder="1" applyProtection="1"/>
    <xf numFmtId="0" fontId="14" fillId="16" borderId="52" xfId="10" applyFont="1" applyFill="1" applyBorder="1" applyProtection="1">
      <protection locked="0"/>
    </xf>
    <xf numFmtId="0" fontId="1" fillId="16" borderId="0" xfId="10" applyFont="1" applyFill="1" applyBorder="1" applyAlignment="1" applyProtection="1">
      <alignment horizontal="left"/>
    </xf>
    <xf numFmtId="0" fontId="14" fillId="16" borderId="65" xfId="10" applyFont="1" applyFill="1" applyBorder="1" applyProtection="1">
      <protection locked="0"/>
    </xf>
    <xf numFmtId="0" fontId="14" fillId="16" borderId="52" xfId="10" applyFont="1" applyFill="1" applyBorder="1" applyAlignment="1" applyProtection="1">
      <protection locked="0"/>
    </xf>
    <xf numFmtId="0" fontId="14" fillId="16" borderId="54" xfId="10" applyFont="1" applyFill="1" applyBorder="1" applyAlignment="1" applyProtection="1">
      <protection locked="0"/>
    </xf>
    <xf numFmtId="0" fontId="1" fillId="16" borderId="52" xfId="10" applyFont="1" applyFill="1" applyBorder="1" applyAlignment="1" applyProtection="1">
      <protection locked="0"/>
    </xf>
    <xf numFmtId="0" fontId="1" fillId="16" borderId="0" xfId="10" applyFont="1" applyFill="1" applyBorder="1" applyAlignment="1" applyProtection="1">
      <alignment horizontal="left" indent="3"/>
    </xf>
    <xf numFmtId="0" fontId="54" fillId="16" borderId="49" xfId="10" applyFont="1" applyFill="1" applyBorder="1" applyAlignment="1" applyProtection="1">
      <alignment horizontal="centerContinuous"/>
      <protection locked="0"/>
    </xf>
    <xf numFmtId="0" fontId="54" fillId="16" borderId="50" xfId="10" applyFont="1" applyFill="1" applyBorder="1" applyAlignment="1" applyProtection="1">
      <protection locked="0"/>
    </xf>
    <xf numFmtId="0" fontId="54" fillId="16" borderId="50" xfId="10" applyFont="1" applyFill="1" applyBorder="1" applyProtection="1">
      <protection locked="0"/>
    </xf>
    <xf numFmtId="0" fontId="54" fillId="16" borderId="50" xfId="10" applyFont="1" applyFill="1" applyBorder="1" applyAlignment="1" applyProtection="1">
      <alignment horizontal="centerContinuous"/>
      <protection locked="0"/>
    </xf>
    <xf numFmtId="0" fontId="15" fillId="16" borderId="50" xfId="10" applyFont="1" applyFill="1" applyBorder="1" applyAlignment="1" applyProtection="1">
      <alignment horizontal="center"/>
      <protection locked="0"/>
    </xf>
    <xf numFmtId="0" fontId="58" fillId="16" borderId="52" xfId="10" applyFont="1" applyFill="1" applyBorder="1" applyAlignment="1" applyProtection="1">
      <protection locked="0"/>
    </xf>
    <xf numFmtId="0" fontId="58" fillId="16" borderId="10" xfId="10" applyFont="1" applyFill="1" applyBorder="1" applyAlignment="1" applyProtection="1">
      <alignment horizontal="left"/>
      <protection locked="0"/>
    </xf>
    <xf numFmtId="0" fontId="58" fillId="16" borderId="10" xfId="10" applyFont="1" applyFill="1" applyBorder="1" applyAlignment="1" applyProtection="1">
      <alignment horizontal="center"/>
      <protection locked="0"/>
    </xf>
    <xf numFmtId="0" fontId="58" fillId="16" borderId="10" xfId="10" applyFont="1" applyFill="1" applyBorder="1" applyAlignment="1" applyProtection="1">
      <alignment horizontal="centerContinuous"/>
      <protection locked="0"/>
    </xf>
    <xf numFmtId="0" fontId="61" fillId="16" borderId="52" xfId="10" applyFont="1" applyFill="1" applyBorder="1" applyProtection="1">
      <protection locked="0"/>
    </xf>
    <xf numFmtId="0" fontId="54" fillId="16" borderId="0" xfId="10" applyFont="1" applyFill="1" applyBorder="1" applyAlignment="1" applyProtection="1"/>
    <xf numFmtId="5" fontId="54" fillId="16" borderId="0" xfId="5" applyNumberFormat="1" applyFont="1" applyFill="1" applyBorder="1" applyProtection="1">
      <protection locked="0"/>
    </xf>
    <xf numFmtId="0" fontId="54" fillId="16" borderId="0" xfId="10" applyFont="1" applyFill="1" applyBorder="1" applyAlignment="1" applyProtection="1">
      <alignment horizontal="left"/>
    </xf>
    <xf numFmtId="0" fontId="54" fillId="16" borderId="0" xfId="7" applyFont="1" applyFill="1" applyBorder="1" applyAlignment="1" applyProtection="1">
      <alignment horizontal="right"/>
    </xf>
    <xf numFmtId="0" fontId="54" fillId="16" borderId="7" xfId="10" applyFont="1" applyFill="1" applyBorder="1" applyProtection="1">
      <protection locked="0"/>
    </xf>
    <xf numFmtId="0" fontId="54" fillId="16" borderId="0" xfId="10" applyFont="1" applyFill="1" applyBorder="1" applyAlignment="1" applyProtection="1">
      <alignment horizontal="right"/>
    </xf>
    <xf numFmtId="37" fontId="54" fillId="16" borderId="0" xfId="5" quotePrefix="1" applyNumberFormat="1" applyFont="1" applyFill="1" applyBorder="1" applyProtection="1"/>
    <xf numFmtId="0" fontId="61" fillId="16" borderId="0" xfId="10" applyFont="1" applyFill="1" applyBorder="1" applyProtection="1">
      <protection locked="0"/>
    </xf>
    <xf numFmtId="37" fontId="54" fillId="16" borderId="0" xfId="5" applyNumberFormat="1" applyFont="1" applyFill="1" applyBorder="1" applyProtection="1">
      <protection locked="0"/>
    </xf>
    <xf numFmtId="0" fontId="58" fillId="16" borderId="52" xfId="10" applyFont="1" applyFill="1" applyBorder="1" applyProtection="1">
      <protection locked="0"/>
    </xf>
    <xf numFmtId="37" fontId="54" fillId="14" borderId="13" xfId="10" applyNumberFormat="1" applyFont="1" applyFill="1" applyBorder="1" applyAlignment="1" applyProtection="1">
      <protection locked="0"/>
    </xf>
    <xf numFmtId="0" fontId="1" fillId="16" borderId="53" xfId="7" applyFont="1" applyFill="1" applyBorder="1" applyProtection="1">
      <protection locked="0"/>
    </xf>
    <xf numFmtId="0" fontId="54" fillId="18" borderId="0" xfId="10" applyFont="1" applyFill="1" applyBorder="1" applyAlignment="1" applyProtection="1">
      <protection locked="0"/>
    </xf>
    <xf numFmtId="0" fontId="54" fillId="18" borderId="0" xfId="10" applyFont="1" applyFill="1" applyBorder="1" applyProtection="1">
      <protection locked="0"/>
    </xf>
    <xf numFmtId="0" fontId="54" fillId="18" borderId="0" xfId="10" applyFont="1" applyFill="1" applyBorder="1" applyAlignment="1" applyProtection="1">
      <alignment horizontal="centerContinuous"/>
      <protection locked="0"/>
    </xf>
    <xf numFmtId="5" fontId="54" fillId="16" borderId="0" xfId="10" applyNumberFormat="1" applyFont="1" applyFill="1" applyBorder="1" applyAlignment="1" applyProtection="1">
      <alignment horizontal="right"/>
    </xf>
    <xf numFmtId="5" fontId="54" fillId="16" borderId="0" xfId="5" applyNumberFormat="1" applyFont="1" applyFill="1" applyBorder="1" applyProtection="1"/>
    <xf numFmtId="0" fontId="15" fillId="16" borderId="0" xfId="10" applyFont="1" applyFill="1" applyBorder="1" applyAlignment="1" applyProtection="1">
      <alignment horizontal="right"/>
      <protection locked="0"/>
    </xf>
    <xf numFmtId="37" fontId="54" fillId="16" borderId="0" xfId="10" applyNumberFormat="1" applyFont="1" applyFill="1" applyBorder="1" applyAlignment="1" applyProtection="1">
      <alignment horizontal="centerContinuous"/>
      <protection locked="0"/>
    </xf>
    <xf numFmtId="0" fontId="58" fillId="16" borderId="0" xfId="10" applyFont="1" applyFill="1" applyBorder="1" applyAlignment="1" applyProtection="1">
      <alignment horizontal="center"/>
      <protection locked="0"/>
    </xf>
    <xf numFmtId="5" fontId="54" fillId="16" borderId="29" xfId="10" applyNumberFormat="1" applyFont="1" applyFill="1" applyBorder="1" applyProtection="1"/>
    <xf numFmtId="37" fontId="1" fillId="13" borderId="0" xfId="5" quotePrefix="1" applyNumberFormat="1" applyFont="1" applyFill="1" applyProtection="1"/>
    <xf numFmtId="0" fontId="1" fillId="13" borderId="0" xfId="10" applyFont="1" applyFill="1" applyBorder="1" applyProtection="1"/>
    <xf numFmtId="0" fontId="1" fillId="13" borderId="0" xfId="7" applyFill="1"/>
    <xf numFmtId="0" fontId="1" fillId="13" borderId="0" xfId="7" applyFill="1" applyBorder="1"/>
    <xf numFmtId="0" fontId="1" fillId="16" borderId="0" xfId="7" applyFill="1" applyBorder="1"/>
    <xf numFmtId="0" fontId="1" fillId="16" borderId="0" xfId="7" applyFill="1"/>
    <xf numFmtId="0" fontId="1" fillId="16" borderId="13" xfId="7" applyFill="1" applyBorder="1"/>
    <xf numFmtId="0" fontId="3" fillId="16" borderId="12" xfId="7" applyFont="1" applyFill="1" applyBorder="1"/>
    <xf numFmtId="0" fontId="3" fillId="16" borderId="12" xfId="7" applyFont="1" applyFill="1" applyBorder="1" applyAlignment="1">
      <alignment horizontal="center"/>
    </xf>
    <xf numFmtId="0" fontId="3" fillId="16" borderId="19" xfId="7" applyFont="1" applyFill="1" applyBorder="1" applyAlignment="1">
      <alignment horizontal="center"/>
    </xf>
    <xf numFmtId="0" fontId="3" fillId="16" borderId="20" xfId="7" applyFont="1" applyFill="1" applyBorder="1" applyAlignment="1">
      <alignment horizontal="center"/>
    </xf>
    <xf numFmtId="0" fontId="3" fillId="16" borderId="20" xfId="7" quotePrefix="1" applyFont="1" applyFill="1" applyBorder="1" applyAlignment="1">
      <alignment horizontal="center"/>
    </xf>
    <xf numFmtId="0" fontId="2" fillId="14" borderId="13" xfId="7" applyFont="1" applyFill="1" applyBorder="1"/>
    <xf numFmtId="0" fontId="1" fillId="14" borderId="13" xfId="7" applyFill="1" applyBorder="1"/>
    <xf numFmtId="0" fontId="1" fillId="16" borderId="49" xfId="7" applyFill="1" applyBorder="1"/>
    <xf numFmtId="0" fontId="1" fillId="16" borderId="50" xfId="7" applyFill="1" applyBorder="1"/>
    <xf numFmtId="0" fontId="1" fillId="16" borderId="51" xfId="7" applyFill="1" applyBorder="1"/>
    <xf numFmtId="0" fontId="1" fillId="16" borderId="52" xfId="7" applyFill="1" applyBorder="1"/>
    <xf numFmtId="0" fontId="1" fillId="16" borderId="53" xfId="7" applyFill="1" applyBorder="1"/>
    <xf numFmtId="0" fontId="2" fillId="16" borderId="0" xfId="7" applyFont="1" applyFill="1" applyBorder="1"/>
    <xf numFmtId="0" fontId="2" fillId="16" borderId="52" xfId="7" applyFont="1" applyFill="1" applyBorder="1"/>
    <xf numFmtId="0" fontId="3" fillId="16" borderId="0" xfId="7" applyFont="1" applyFill="1" applyBorder="1"/>
    <xf numFmtId="0" fontId="1" fillId="16" borderId="54" xfId="7" applyFill="1" applyBorder="1"/>
    <xf numFmtId="0" fontId="1" fillId="16" borderId="55" xfId="7" applyFill="1" applyBorder="1"/>
    <xf numFmtId="0" fontId="1" fillId="16" borderId="56" xfId="7" applyFill="1" applyBorder="1"/>
    <xf numFmtId="0" fontId="1" fillId="13" borderId="0" xfId="7" applyFont="1" applyFill="1" applyProtection="1"/>
    <xf numFmtId="0" fontId="2" fillId="16" borderId="0" xfId="7" applyFont="1" applyFill="1" applyBorder="1" applyAlignment="1" applyProtection="1">
      <protection locked="0"/>
    </xf>
    <xf numFmtId="0" fontId="14" fillId="16" borderId="50" xfId="7" applyFont="1" applyFill="1" applyBorder="1" applyProtection="1">
      <protection locked="0"/>
    </xf>
    <xf numFmtId="0" fontId="1" fillId="16" borderId="0" xfId="7" applyFont="1" applyFill="1" applyBorder="1" applyAlignment="1" applyProtection="1">
      <protection locked="0"/>
    </xf>
    <xf numFmtId="0" fontId="1" fillId="13" borderId="0" xfId="7" applyFill="1" applyAlignment="1">
      <alignment horizontal="right"/>
    </xf>
    <xf numFmtId="0" fontId="1" fillId="14" borderId="13" xfId="7" applyFill="1" applyBorder="1" applyProtection="1">
      <protection locked="0"/>
    </xf>
    <xf numFmtId="0" fontId="14" fillId="13" borderId="0" xfId="10" applyFont="1" applyFill="1" applyBorder="1" applyAlignment="1" applyProtection="1">
      <alignment horizontal="centerContinuous" wrapText="1"/>
      <protection locked="0"/>
    </xf>
    <xf numFmtId="38" fontId="14" fillId="13" borderId="0" xfId="10" applyNumberFormat="1" applyFont="1" applyFill="1" applyBorder="1" applyAlignment="1" applyProtection="1">
      <alignment horizontal="centerContinuous"/>
      <protection locked="0"/>
    </xf>
    <xf numFmtId="38" fontId="2" fillId="13" borderId="0" xfId="10" applyNumberFormat="1" applyFont="1" applyFill="1" applyBorder="1" applyAlignment="1" applyProtection="1">
      <alignment horizontal="centerContinuous"/>
      <protection locked="0"/>
    </xf>
    <xf numFmtId="38" fontId="2" fillId="13" borderId="0" xfId="10" applyNumberFormat="1" applyFont="1" applyFill="1" applyBorder="1" applyProtection="1">
      <protection locked="0"/>
    </xf>
    <xf numFmtId="0" fontId="9" fillId="16" borderId="49" xfId="6" applyFill="1" applyBorder="1" applyAlignment="1" applyProtection="1">
      <protection locked="0"/>
    </xf>
    <xf numFmtId="38" fontId="2" fillId="16" borderId="50" xfId="7" applyNumberFormat="1" applyFont="1" applyFill="1" applyBorder="1" applyProtection="1">
      <protection locked="0"/>
    </xf>
    <xf numFmtId="0" fontId="2" fillId="16" borderId="52" xfId="7" applyFont="1" applyFill="1" applyBorder="1" applyAlignment="1">
      <alignment horizontal="right"/>
    </xf>
    <xf numFmtId="0" fontId="1" fillId="16" borderId="52" xfId="7" applyFill="1" applyBorder="1" applyAlignment="1">
      <alignment horizontal="right"/>
    </xf>
    <xf numFmtId="0" fontId="2" fillId="16" borderId="52" xfId="7" applyFont="1" applyFill="1" applyBorder="1" applyAlignment="1">
      <alignment horizontal="left"/>
    </xf>
    <xf numFmtId="0" fontId="1" fillId="16" borderId="54" xfId="7" applyFill="1" applyBorder="1" applyAlignment="1">
      <alignment horizontal="right"/>
    </xf>
    <xf numFmtId="0" fontId="1" fillId="16" borderId="52" xfId="7" applyFont="1" applyFill="1" applyBorder="1" applyAlignment="1">
      <alignment horizontal="left"/>
    </xf>
    <xf numFmtId="14" fontId="1" fillId="14" borderId="13" xfId="7" applyNumberFormat="1" applyFill="1" applyBorder="1" applyProtection="1">
      <protection locked="0"/>
    </xf>
    <xf numFmtId="38" fontId="1" fillId="13" borderId="0" xfId="10" applyNumberFormat="1" applyFont="1" applyFill="1" applyProtection="1"/>
    <xf numFmtId="38" fontId="1" fillId="13" borderId="0" xfId="10" applyNumberFormat="1" applyFont="1" applyFill="1" applyAlignment="1" applyProtection="1">
      <alignment horizontal="right"/>
      <protection locked="0"/>
    </xf>
    <xf numFmtId="38" fontId="1" fillId="13" borderId="0" xfId="10" applyNumberFormat="1" applyFont="1" applyFill="1" applyProtection="1">
      <protection locked="0"/>
    </xf>
    <xf numFmtId="0" fontId="3" fillId="13" borderId="0" xfId="10" applyNumberFormat="1" applyFont="1" applyFill="1" applyBorder="1" applyAlignment="1" applyProtection="1">
      <alignment horizontal="center" wrapText="1"/>
    </xf>
    <xf numFmtId="0" fontId="1" fillId="16" borderId="52" xfId="7" applyFont="1" applyFill="1" applyBorder="1" applyAlignment="1">
      <alignment horizontal="right"/>
    </xf>
    <xf numFmtId="0" fontId="74" fillId="16" borderId="0" xfId="7" applyFont="1" applyFill="1" applyBorder="1" applyAlignment="1" applyProtection="1">
      <alignment horizontal="center"/>
      <protection locked="0"/>
    </xf>
    <xf numFmtId="37" fontId="3" fillId="16" borderId="10" xfId="10" applyNumberFormat="1" applyFont="1" applyFill="1" applyBorder="1" applyAlignment="1" applyProtection="1">
      <alignment horizontal="centerContinuous"/>
    </xf>
    <xf numFmtId="0" fontId="2" fillId="14" borderId="30" xfId="7" applyFont="1" applyFill="1" applyBorder="1" applyProtection="1">
      <protection locked="0" hidden="1"/>
    </xf>
    <xf numFmtId="0" fontId="2" fillId="14" borderId="0" xfId="7" applyFont="1" applyFill="1" applyBorder="1" applyProtection="1">
      <protection locked="0" hidden="1"/>
    </xf>
    <xf numFmtId="0" fontId="17" fillId="14" borderId="31" xfId="7" applyFont="1" applyFill="1" applyBorder="1" applyAlignment="1" applyProtection="1">
      <alignment horizontal="left"/>
      <protection locked="0" hidden="1"/>
    </xf>
    <xf numFmtId="0" fontId="9" fillId="14" borderId="32" xfId="6" applyFill="1" applyBorder="1" applyAlignment="1" applyProtection="1">
      <alignment wrapText="1"/>
      <protection locked="0" hidden="1"/>
    </xf>
    <xf numFmtId="0" fontId="9" fillId="14" borderId="32" xfId="6" applyFill="1" applyBorder="1" applyAlignment="1" applyProtection="1">
      <protection locked="0" hidden="1"/>
    </xf>
    <xf numFmtId="0" fontId="9" fillId="14" borderId="33" xfId="6" applyFont="1" applyFill="1" applyBorder="1" applyAlignment="1" applyProtection="1">
      <alignment wrapText="1"/>
      <protection locked="0" hidden="1"/>
    </xf>
    <xf numFmtId="0" fontId="2" fillId="13" borderId="0" xfId="7" applyFont="1" applyFill="1" applyProtection="1">
      <protection locked="0" hidden="1"/>
    </xf>
    <xf numFmtId="0" fontId="1" fillId="13" borderId="0" xfId="7" applyFill="1" applyProtection="1">
      <protection locked="0"/>
    </xf>
    <xf numFmtId="0" fontId="2" fillId="13" borderId="34" xfId="7" applyFont="1" applyFill="1" applyBorder="1" applyProtection="1">
      <protection locked="0" hidden="1"/>
    </xf>
    <xf numFmtId="0" fontId="2" fillId="13" borderId="5" xfId="7" applyFont="1" applyFill="1" applyBorder="1" applyProtection="1">
      <protection locked="0" hidden="1"/>
    </xf>
    <xf numFmtId="0" fontId="15" fillId="13" borderId="31" xfId="7" applyFont="1" applyFill="1" applyBorder="1" applyAlignment="1" applyProtection="1">
      <alignment horizontal="center"/>
      <protection locked="0" hidden="1"/>
    </xf>
    <xf numFmtId="0" fontId="2" fillId="13" borderId="30" xfId="7" applyFont="1" applyFill="1" applyBorder="1" applyProtection="1">
      <protection locked="0" hidden="1"/>
    </xf>
    <xf numFmtId="0" fontId="2" fillId="13" borderId="0" xfId="7" applyFont="1" applyFill="1" applyBorder="1" applyProtection="1">
      <protection locked="0" hidden="1"/>
    </xf>
    <xf numFmtId="0" fontId="16" fillId="13" borderId="32" xfId="7" applyFont="1" applyFill="1" applyBorder="1" applyAlignment="1" applyProtection="1">
      <alignment horizontal="center"/>
      <protection locked="0" hidden="1"/>
    </xf>
    <xf numFmtId="0" fontId="2" fillId="13" borderId="35" xfId="7" applyFont="1" applyFill="1" applyBorder="1" applyProtection="1">
      <protection locked="0" hidden="1"/>
    </xf>
    <xf numFmtId="0" fontId="2" fillId="13" borderId="36" xfId="7" applyFont="1" applyFill="1" applyBorder="1" applyProtection="1">
      <protection locked="0" hidden="1"/>
    </xf>
    <xf numFmtId="0" fontId="17" fillId="13" borderId="33" xfId="7" applyFont="1" applyFill="1" applyBorder="1" applyAlignment="1" applyProtection="1">
      <alignment horizontal="center"/>
      <protection locked="0" hidden="1"/>
    </xf>
    <xf numFmtId="0" fontId="3" fillId="13" borderId="0" xfId="7" applyFont="1" applyFill="1" applyProtection="1">
      <protection locked="0"/>
    </xf>
    <xf numFmtId="0" fontId="2" fillId="16" borderId="16" xfId="7" applyFont="1" applyFill="1" applyBorder="1" applyProtection="1">
      <protection locked="0"/>
    </xf>
    <xf numFmtId="0" fontId="1" fillId="16" borderId="0" xfId="7" applyFill="1" applyBorder="1" applyProtection="1">
      <protection locked="0"/>
    </xf>
    <xf numFmtId="0" fontId="2" fillId="16" borderId="49" xfId="7" applyFont="1" applyFill="1" applyBorder="1" applyProtection="1">
      <protection locked="0"/>
    </xf>
    <xf numFmtId="0" fontId="1" fillId="16" borderId="51" xfId="7" applyFill="1" applyBorder="1" applyProtection="1">
      <protection locked="0"/>
    </xf>
    <xf numFmtId="0" fontId="1" fillId="16" borderId="52" xfId="7" applyFill="1" applyBorder="1" applyProtection="1">
      <protection locked="0"/>
    </xf>
    <xf numFmtId="0" fontId="1" fillId="16" borderId="53" xfId="7" applyFill="1" applyBorder="1" applyProtection="1">
      <protection locked="0"/>
    </xf>
    <xf numFmtId="0" fontId="1" fillId="16" borderId="54" xfId="7" applyFill="1" applyBorder="1" applyProtection="1">
      <protection locked="0"/>
    </xf>
    <xf numFmtId="0" fontId="1" fillId="16" borderId="55" xfId="7" applyFill="1" applyBorder="1" applyProtection="1">
      <protection locked="0"/>
    </xf>
    <xf numFmtId="0" fontId="1" fillId="16" borderId="56" xfId="7" applyFill="1" applyBorder="1" applyProtection="1">
      <protection locked="0"/>
    </xf>
    <xf numFmtId="0" fontId="16" fillId="16" borderId="0" xfId="7" applyFont="1" applyFill="1" applyBorder="1" applyAlignment="1" applyProtection="1">
      <alignment horizontal="left" vertical="top" wrapText="1"/>
      <protection locked="0"/>
    </xf>
    <xf numFmtId="0" fontId="2" fillId="16" borderId="66" xfId="7" applyFont="1" applyFill="1" applyBorder="1" applyProtection="1">
      <protection locked="0"/>
    </xf>
    <xf numFmtId="0" fontId="3" fillId="16" borderId="67" xfId="7" applyFont="1" applyFill="1" applyBorder="1" applyProtection="1">
      <protection locked="0"/>
    </xf>
    <xf numFmtId="0" fontId="2" fillId="16" borderId="67" xfId="7" applyFont="1" applyFill="1" applyBorder="1" applyProtection="1">
      <protection locked="0"/>
    </xf>
    <xf numFmtId="0" fontId="2" fillId="16" borderId="68" xfId="7" applyFont="1" applyFill="1" applyBorder="1" applyProtection="1">
      <protection locked="0"/>
    </xf>
    <xf numFmtId="0" fontId="2" fillId="16" borderId="69" xfId="7" applyFont="1" applyFill="1" applyBorder="1" applyProtection="1">
      <protection locked="0"/>
    </xf>
    <xf numFmtId="0" fontId="2" fillId="16" borderId="70" xfId="7" applyFont="1" applyFill="1" applyBorder="1" applyProtection="1">
      <protection locked="0"/>
    </xf>
    <xf numFmtId="0" fontId="3" fillId="16" borderId="7" xfId="7" applyFont="1" applyFill="1" applyBorder="1" applyAlignment="1" applyProtection="1">
      <alignment horizontal="center" vertical="top"/>
      <protection locked="0"/>
    </xf>
    <xf numFmtId="0" fontId="3" fillId="16" borderId="13" xfId="7" applyFont="1" applyFill="1" applyBorder="1" applyAlignment="1" applyProtection="1">
      <alignment horizontal="center" vertical="center"/>
      <protection locked="0"/>
    </xf>
    <xf numFmtId="0" fontId="1" fillId="16" borderId="13" xfId="7" applyFont="1" applyFill="1" applyBorder="1" applyProtection="1"/>
    <xf numFmtId="0" fontId="2" fillId="16" borderId="13" xfId="7" applyFont="1" applyFill="1" applyBorder="1" applyAlignment="1" applyProtection="1">
      <alignment horizontal="center"/>
    </xf>
    <xf numFmtId="0" fontId="2" fillId="16" borderId="13" xfId="7" applyNumberFormat="1" applyFont="1" applyFill="1" applyBorder="1" applyAlignment="1" applyProtection="1">
      <alignment horizontal="center" vertical="center"/>
      <protection locked="0"/>
    </xf>
    <xf numFmtId="14" fontId="2" fillId="16" borderId="13" xfId="7" applyNumberFormat="1" applyFont="1" applyFill="1" applyBorder="1" applyProtection="1">
      <protection locked="0"/>
    </xf>
    <xf numFmtId="3" fontId="2" fillId="16" borderId="13" xfId="7" applyNumberFormat="1" applyFont="1" applyFill="1" applyBorder="1" applyProtection="1">
      <protection locked="0"/>
    </xf>
    <xf numFmtId="0" fontId="2" fillId="16" borderId="13" xfId="7" applyFont="1" applyFill="1" applyBorder="1" applyProtection="1"/>
    <xf numFmtId="0" fontId="1" fillId="16" borderId="13" xfId="7" applyFont="1" applyFill="1" applyBorder="1" applyAlignment="1" applyProtection="1">
      <alignment horizontal="center"/>
    </xf>
    <xf numFmtId="0" fontId="2" fillId="16" borderId="71" xfId="7" applyFont="1" applyFill="1" applyBorder="1" applyProtection="1">
      <protection locked="0"/>
    </xf>
    <xf numFmtId="0" fontId="2" fillId="16" borderId="72" xfId="7" applyFont="1" applyFill="1" applyBorder="1" applyProtection="1">
      <protection locked="0"/>
    </xf>
    <xf numFmtId="0" fontId="2" fillId="16" borderId="73" xfId="7" applyFont="1" applyFill="1" applyBorder="1" applyProtection="1">
      <protection locked="0"/>
    </xf>
    <xf numFmtId="0" fontId="2" fillId="16" borderId="66" xfId="7" applyFont="1" applyFill="1" applyBorder="1"/>
    <xf numFmtId="0" fontId="3" fillId="16" borderId="67" xfId="7" applyFont="1" applyFill="1" applyBorder="1"/>
    <xf numFmtId="0" fontId="2" fillId="16" borderId="67" xfId="7" applyFont="1" applyFill="1" applyBorder="1"/>
    <xf numFmtId="0" fontId="6" fillId="16" borderId="68" xfId="7" applyFont="1" applyFill="1" applyBorder="1"/>
    <xf numFmtId="0" fontId="2" fillId="16" borderId="69" xfId="7" applyFont="1" applyFill="1" applyBorder="1"/>
    <xf numFmtId="0" fontId="6" fillId="16" borderId="70" xfId="7" applyFont="1" applyFill="1" applyBorder="1"/>
    <xf numFmtId="0" fontId="3" fillId="16" borderId="0" xfId="7" applyFont="1" applyFill="1" applyBorder="1" applyAlignment="1">
      <alignment horizontal="left"/>
    </xf>
    <xf numFmtId="0" fontId="1" fillId="16" borderId="16" xfId="7" applyFont="1" applyFill="1" applyBorder="1" applyAlignment="1"/>
    <xf numFmtId="0" fontId="2" fillId="16" borderId="0" xfId="7" applyFont="1" applyFill="1" applyBorder="1" applyAlignment="1">
      <alignment horizontal="left" indent="7"/>
    </xf>
    <xf numFmtId="0" fontId="6" fillId="16" borderId="0" xfId="7" applyFont="1" applyFill="1" applyBorder="1"/>
    <xf numFmtId="0" fontId="2" fillId="16" borderId="0" xfId="7" applyFont="1" applyFill="1" applyBorder="1" applyAlignment="1">
      <alignment horizontal="left" vertical="top"/>
    </xf>
    <xf numFmtId="0" fontId="3" fillId="16" borderId="69" xfId="7" applyFont="1" applyFill="1" applyBorder="1"/>
    <xf numFmtId="0" fontId="2" fillId="16" borderId="71" xfId="7" applyFont="1" applyFill="1" applyBorder="1"/>
    <xf numFmtId="0" fontId="2" fillId="16" borderId="72" xfId="7" applyFont="1" applyFill="1" applyBorder="1"/>
    <xf numFmtId="0" fontId="6" fillId="16" borderId="73" xfId="7" applyFont="1" applyFill="1" applyBorder="1"/>
    <xf numFmtId="0" fontId="3" fillId="16" borderId="0" xfId="7" applyFont="1" applyFill="1" applyBorder="1" applyAlignment="1"/>
    <xf numFmtId="0" fontId="26" fillId="13" borderId="0" xfId="10" applyFont="1" applyFill="1" applyAlignment="1" applyProtection="1">
      <alignment horizontal="left"/>
      <protection locked="0"/>
    </xf>
    <xf numFmtId="0" fontId="2" fillId="16" borderId="0" xfId="10" applyFont="1" applyFill="1" applyProtection="1">
      <protection locked="0"/>
    </xf>
    <xf numFmtId="0" fontId="2" fillId="16" borderId="49" xfId="10" applyFont="1" applyFill="1" applyBorder="1" applyAlignment="1" applyProtection="1">
      <alignment horizontal="centerContinuous"/>
      <protection locked="0"/>
    </xf>
    <xf numFmtId="0" fontId="10" fillId="16" borderId="50" xfId="10" applyFont="1" applyFill="1" applyBorder="1" applyProtection="1">
      <protection locked="0"/>
    </xf>
    <xf numFmtId="0" fontId="10" fillId="16" borderId="50" xfId="10" applyFont="1" applyFill="1" applyBorder="1" applyAlignment="1" applyProtection="1">
      <alignment horizontal="centerContinuous"/>
      <protection locked="0"/>
    </xf>
    <xf numFmtId="0" fontId="2" fillId="16" borderId="52" xfId="10" applyFont="1" applyFill="1" applyBorder="1" applyAlignment="1" applyProtection="1">
      <alignment horizontal="centerContinuous"/>
      <protection locked="0"/>
    </xf>
    <xf numFmtId="37" fontId="14" fillId="16" borderId="0" xfId="10" applyNumberFormat="1" applyFont="1" applyFill="1" applyBorder="1" applyProtection="1">
      <protection locked="0"/>
    </xf>
    <xf numFmtId="0" fontId="14" fillId="16" borderId="0" xfId="10" applyFont="1" applyFill="1" applyBorder="1" applyAlignment="1" applyProtection="1">
      <alignment horizontal="right"/>
      <protection locked="0"/>
    </xf>
    <xf numFmtId="0" fontId="14" fillId="16" borderId="0" xfId="10" applyFont="1" applyFill="1" applyBorder="1" applyAlignment="1" applyProtection="1">
      <alignment horizontal="center"/>
      <protection locked="0"/>
    </xf>
    <xf numFmtId="0" fontId="1" fillId="16" borderId="0" xfId="7" applyFont="1" applyFill="1" applyBorder="1" applyAlignment="1" applyProtection="1">
      <alignment horizontal="center" vertical="center" wrapText="1"/>
      <protection locked="0"/>
    </xf>
    <xf numFmtId="0" fontId="25" fillId="16" borderId="10" xfId="10" applyFont="1" applyFill="1" applyBorder="1" applyAlignment="1" applyProtection="1">
      <alignment horizontal="center"/>
      <protection locked="0"/>
    </xf>
    <xf numFmtId="0" fontId="3" fillId="16" borderId="10" xfId="10" applyFont="1" applyFill="1" applyBorder="1" applyAlignment="1" applyProtection="1">
      <alignment horizontal="center"/>
      <protection locked="0"/>
    </xf>
    <xf numFmtId="5" fontId="1" fillId="14" borderId="13" xfId="10" applyNumberFormat="1" applyFont="1" applyFill="1" applyBorder="1" applyProtection="1">
      <protection locked="0"/>
    </xf>
    <xf numFmtId="37" fontId="1" fillId="14" borderId="13" xfId="10" applyNumberFormat="1" applyFont="1" applyFill="1" applyBorder="1" applyProtection="1">
      <protection locked="0"/>
    </xf>
    <xf numFmtId="0" fontId="1" fillId="16" borderId="7" xfId="10" applyFont="1" applyFill="1" applyBorder="1" applyProtection="1">
      <protection locked="0"/>
    </xf>
    <xf numFmtId="0" fontId="1" fillId="16" borderId="0" xfId="10" applyFont="1" applyFill="1" applyBorder="1" applyAlignment="1" applyProtection="1">
      <protection locked="0"/>
    </xf>
    <xf numFmtId="37" fontId="1" fillId="16" borderId="0" xfId="10" applyNumberFormat="1" applyFont="1" applyFill="1" applyBorder="1" applyAlignment="1" applyProtection="1">
      <protection locked="0"/>
    </xf>
    <xf numFmtId="0" fontId="1" fillId="16" borderId="52" xfId="10" applyFont="1" applyFill="1" applyBorder="1" applyAlignment="1" applyProtection="1">
      <alignment horizontal="left"/>
      <protection locked="0"/>
    </xf>
    <xf numFmtId="0" fontId="1" fillId="16" borderId="0" xfId="10" applyFont="1" applyFill="1" applyBorder="1" applyAlignment="1" applyProtection="1">
      <alignment horizontal="right"/>
      <protection locked="0"/>
    </xf>
    <xf numFmtId="0" fontId="1" fillId="16" borderId="56" xfId="10" applyFont="1" applyFill="1" applyBorder="1" applyProtection="1">
      <protection locked="0"/>
    </xf>
    <xf numFmtId="171" fontId="3" fillId="16" borderId="0" xfId="10" applyNumberFormat="1" applyFont="1" applyFill="1" applyBorder="1" applyAlignment="1" applyProtection="1">
      <alignment horizontal="center"/>
      <protection locked="0"/>
    </xf>
    <xf numFmtId="0" fontId="3" fillId="16" borderId="0" xfId="10" applyFont="1" applyFill="1" applyBorder="1" applyAlignment="1" applyProtection="1">
      <alignment vertical="center" wrapText="1"/>
      <protection locked="0"/>
    </xf>
    <xf numFmtId="0" fontId="3" fillId="16" borderId="0" xfId="7" applyFont="1" applyFill="1" applyBorder="1" applyAlignment="1" applyProtection="1">
      <alignment vertical="center" wrapText="1"/>
      <protection locked="0"/>
    </xf>
    <xf numFmtId="171" fontId="3" fillId="16" borderId="0" xfId="10" applyNumberFormat="1" applyFont="1" applyFill="1" applyBorder="1" applyAlignment="1" applyProtection="1">
      <alignment horizontal="center"/>
    </xf>
    <xf numFmtId="0" fontId="1" fillId="16" borderId="0" xfId="7" applyFont="1" applyFill="1" applyBorder="1" applyAlignment="1" applyProtection="1">
      <alignment horizontal="center" vertical="center" wrapText="1"/>
    </xf>
    <xf numFmtId="0" fontId="1" fillId="16" borderId="0" xfId="10" applyFont="1" applyFill="1" applyBorder="1" applyAlignment="1" applyProtection="1">
      <alignment horizontal="right"/>
    </xf>
    <xf numFmtId="0" fontId="3" fillId="13" borderId="0" xfId="7" applyFont="1" applyFill="1" applyAlignment="1" applyProtection="1">
      <protection hidden="1"/>
    </xf>
    <xf numFmtId="0" fontId="4" fillId="13" borderId="0" xfId="10" applyFont="1" applyFill="1" applyAlignment="1" applyProtection="1">
      <alignment horizontal="left"/>
    </xf>
    <xf numFmtId="37" fontId="3" fillId="13" borderId="0" xfId="7" applyNumberFormat="1" applyFont="1" applyFill="1" applyAlignment="1" applyProtection="1">
      <alignment horizontal="center"/>
      <protection hidden="1"/>
    </xf>
    <xf numFmtId="0" fontId="1" fillId="13" borderId="0" xfId="10" applyFont="1" applyFill="1" applyAlignment="1" applyProtection="1">
      <alignment horizontal="left"/>
    </xf>
    <xf numFmtId="0" fontId="1" fillId="13" borderId="0" xfId="7" applyFont="1" applyFill="1" applyAlignment="1" applyProtection="1"/>
    <xf numFmtId="0" fontId="3" fillId="16" borderId="10" xfId="10" applyFont="1" applyFill="1" applyBorder="1" applyAlignment="1" applyProtection="1">
      <alignment horizontal="center"/>
    </xf>
    <xf numFmtId="0" fontId="1" fillId="16" borderId="10" xfId="10" applyFont="1" applyFill="1" applyBorder="1" applyAlignment="1" applyProtection="1">
      <alignment horizontal="center"/>
    </xf>
    <xf numFmtId="0" fontId="14" fillId="16" borderId="10" xfId="10" applyFont="1" applyFill="1" applyBorder="1" applyProtection="1"/>
    <xf numFmtId="0" fontId="2" fillId="16" borderId="10" xfId="10" applyFont="1" applyFill="1" applyBorder="1" applyProtection="1"/>
    <xf numFmtId="171" fontId="1" fillId="16" borderId="0" xfId="10" applyNumberFormat="1" applyFont="1" applyFill="1" applyBorder="1" applyAlignment="1" applyProtection="1">
      <alignment horizontal="centerContinuous"/>
    </xf>
    <xf numFmtId="5" fontId="3" fillId="16" borderId="0" xfId="10" applyNumberFormat="1" applyFont="1" applyFill="1" applyBorder="1" applyAlignment="1" applyProtection="1">
      <alignment horizontal="center"/>
      <protection locked="0"/>
    </xf>
    <xf numFmtId="0" fontId="1" fillId="16" borderId="49" xfId="10" applyFont="1" applyFill="1" applyBorder="1" applyAlignment="1" applyProtection="1"/>
    <xf numFmtId="0" fontId="1" fillId="16" borderId="50" xfId="10" applyFont="1" applyFill="1" applyBorder="1" applyAlignment="1" applyProtection="1"/>
    <xf numFmtId="0" fontId="1" fillId="16" borderId="52" xfId="10" applyFont="1" applyFill="1" applyBorder="1" applyAlignment="1" applyProtection="1">
      <alignment horizontal="centerContinuous"/>
    </xf>
    <xf numFmtId="0" fontId="3" fillId="16" borderId="65" xfId="10" applyFont="1" applyFill="1" applyBorder="1" applyAlignment="1" applyProtection="1">
      <alignment horizontal="centerContinuous"/>
    </xf>
    <xf numFmtId="0" fontId="1" fillId="16" borderId="27" xfId="10" applyFont="1" applyFill="1" applyBorder="1" applyProtection="1">
      <protection locked="0"/>
    </xf>
    <xf numFmtId="5" fontId="14" fillId="13" borderId="0" xfId="5" applyFont="1" applyFill="1" applyAlignment="1" applyProtection="1">
      <alignment horizontal="right"/>
      <protection locked="0"/>
    </xf>
    <xf numFmtId="5" fontId="14" fillId="13" borderId="0" xfId="5" applyFont="1" applyFill="1" applyBorder="1" applyAlignment="1" applyProtection="1">
      <alignment horizontal="left"/>
      <protection locked="0"/>
    </xf>
    <xf numFmtId="5" fontId="14" fillId="13" borderId="0" xfId="10" applyNumberFormat="1" applyFont="1" applyFill="1" applyAlignment="1" applyProtection="1">
      <alignment horizontal="right"/>
      <protection locked="0"/>
    </xf>
    <xf numFmtId="5" fontId="14" fillId="16" borderId="0" xfId="5" applyFont="1" applyFill="1" applyBorder="1" applyAlignment="1" applyProtection="1">
      <alignment horizontal="right"/>
      <protection locked="0"/>
    </xf>
    <xf numFmtId="10" fontId="1" fillId="16" borderId="0" xfId="11" applyNumberFormat="1" applyFont="1" applyFill="1" applyBorder="1" applyAlignment="1" applyProtection="1">
      <alignment horizontal="right"/>
      <protection locked="0"/>
    </xf>
    <xf numFmtId="37" fontId="1" fillId="16" borderId="0" xfId="10" applyNumberFormat="1" applyFont="1" applyFill="1" applyBorder="1" applyAlignment="1" applyProtection="1">
      <alignment horizontal="center"/>
      <protection locked="0"/>
    </xf>
    <xf numFmtId="5" fontId="1" fillId="13" borderId="0" xfId="5" applyFont="1" applyFill="1" applyAlignment="1" applyProtection="1">
      <alignment horizontal="right"/>
    </xf>
    <xf numFmtId="37" fontId="1" fillId="13" borderId="0" xfId="10" applyNumberFormat="1" applyFont="1" applyFill="1" applyBorder="1" applyProtection="1"/>
    <xf numFmtId="37" fontId="1" fillId="13" borderId="0" xfId="10" applyNumberFormat="1" applyFont="1" applyFill="1" applyBorder="1" applyAlignment="1" applyProtection="1">
      <alignment horizontal="centerContinuous"/>
    </xf>
    <xf numFmtId="0" fontId="3" fillId="13" borderId="0" xfId="10" applyFont="1" applyFill="1" applyAlignment="1" applyProtection="1">
      <alignment horizontal="centerContinuous"/>
    </xf>
    <xf numFmtId="0" fontId="1" fillId="13" borderId="0" xfId="10" applyFont="1" applyFill="1" applyBorder="1" applyAlignment="1" applyProtection="1">
      <alignment horizontal="right"/>
    </xf>
    <xf numFmtId="0" fontId="1" fillId="13" borderId="0" xfId="10" applyFont="1" applyFill="1" applyBorder="1" applyAlignment="1" applyProtection="1">
      <alignment horizontal="left"/>
    </xf>
    <xf numFmtId="2" fontId="1" fillId="13" borderId="0" xfId="11" applyNumberFormat="1" applyFont="1" applyFill="1" applyBorder="1" applyAlignment="1" applyProtection="1">
      <alignment horizontal="right"/>
    </xf>
    <xf numFmtId="0" fontId="25" fillId="16" borderId="0" xfId="10" applyFont="1" applyFill="1" applyBorder="1" applyAlignment="1" applyProtection="1">
      <alignment horizontal="center"/>
    </xf>
    <xf numFmtId="37" fontId="25" fillId="16" borderId="0" xfId="10" applyNumberFormat="1" applyFont="1" applyFill="1" applyBorder="1" applyAlignment="1" applyProtection="1">
      <alignment horizontal="centerContinuous"/>
    </xf>
    <xf numFmtId="5" fontId="25" fillId="16" borderId="0" xfId="5" applyFont="1" applyFill="1" applyBorder="1" applyAlignment="1" applyProtection="1">
      <alignment horizontal="centerContinuous"/>
    </xf>
    <xf numFmtId="10" fontId="1" fillId="16" borderId="0" xfId="11" applyNumberFormat="1" applyFont="1" applyFill="1" applyBorder="1" applyAlignment="1" applyProtection="1">
      <alignment horizontal="right"/>
    </xf>
    <xf numFmtId="37" fontId="1" fillId="16" borderId="0" xfId="10" applyNumberFormat="1" applyFont="1" applyFill="1" applyBorder="1" applyAlignment="1" applyProtection="1">
      <alignment horizontal="center"/>
    </xf>
    <xf numFmtId="37" fontId="1" fillId="16" borderId="10" xfId="10" applyNumberFormat="1" applyFont="1" applyFill="1" applyBorder="1" applyAlignment="1" applyProtection="1">
      <alignment horizontal="centerContinuous"/>
    </xf>
    <xf numFmtId="37" fontId="1" fillId="16" borderId="10" xfId="10" applyNumberFormat="1" applyFont="1" applyFill="1" applyBorder="1" applyAlignment="1" applyProtection="1">
      <alignment horizontal="center"/>
    </xf>
    <xf numFmtId="37" fontId="28" fillId="16" borderId="0" xfId="10" applyNumberFormat="1" applyFont="1" applyFill="1" applyBorder="1" applyAlignment="1" applyProtection="1">
      <alignment horizontal="centerContinuous"/>
    </xf>
    <xf numFmtId="5" fontId="3" fillId="16" borderId="10" xfId="5" applyFont="1" applyFill="1" applyBorder="1" applyAlignment="1" applyProtection="1">
      <alignment horizontal="centerContinuous"/>
    </xf>
    <xf numFmtId="37" fontId="28" fillId="16" borderId="0" xfId="10" applyNumberFormat="1" applyFont="1" applyFill="1" applyBorder="1" applyAlignment="1" applyProtection="1">
      <alignment horizontal="left"/>
    </xf>
    <xf numFmtId="0" fontId="28" fillId="16" borderId="0" xfId="10" applyFont="1" applyFill="1" applyBorder="1" applyProtection="1"/>
    <xf numFmtId="5" fontId="1" fillId="16" borderId="0" xfId="5" applyNumberFormat="1" applyFont="1" applyFill="1" applyBorder="1" applyAlignment="1" applyProtection="1">
      <alignment horizontal="right"/>
    </xf>
    <xf numFmtId="37" fontId="1" fillId="16" borderId="0" xfId="5" applyNumberFormat="1" applyFont="1" applyFill="1" applyBorder="1" applyAlignment="1" applyProtection="1">
      <alignment horizontal="right"/>
    </xf>
    <xf numFmtId="5" fontId="1" fillId="16" borderId="0" xfId="5" applyFont="1" applyFill="1" applyBorder="1" applyAlignment="1" applyProtection="1">
      <alignment horizontal="right"/>
      <protection locked="0"/>
    </xf>
    <xf numFmtId="5" fontId="1" fillId="16" borderId="0" xfId="10" applyNumberFormat="1" applyFont="1" applyFill="1" applyBorder="1" applyAlignment="1" applyProtection="1">
      <alignment horizontal="center"/>
      <protection locked="0"/>
    </xf>
    <xf numFmtId="5" fontId="1" fillId="16" borderId="10" xfId="5" applyFont="1" applyFill="1" applyBorder="1" applyAlignment="1" applyProtection="1">
      <alignment horizontal="right"/>
    </xf>
    <xf numFmtId="5" fontId="1" fillId="16" borderId="0" xfId="10" applyNumberFormat="1" applyFont="1" applyFill="1" applyBorder="1" applyAlignment="1" applyProtection="1">
      <alignment horizontal="right"/>
      <protection locked="0"/>
    </xf>
    <xf numFmtId="10" fontId="1" fillId="16" borderId="0" xfId="11" applyNumberFormat="1" applyFont="1" applyFill="1" applyBorder="1" applyAlignment="1" applyProtection="1">
      <alignment horizontal="center"/>
      <protection locked="0"/>
    </xf>
    <xf numFmtId="37" fontId="1" fillId="16" borderId="0" xfId="11" applyNumberFormat="1" applyFont="1" applyFill="1" applyBorder="1" applyProtection="1">
      <protection locked="0"/>
    </xf>
    <xf numFmtId="10" fontId="1" fillId="16" borderId="0" xfId="11" applyNumberFormat="1" applyFont="1" applyFill="1" applyBorder="1" applyProtection="1">
      <protection locked="0"/>
    </xf>
    <xf numFmtId="5" fontId="1" fillId="16" borderId="0" xfId="5" quotePrefix="1" applyFont="1" applyFill="1" applyBorder="1" applyAlignment="1" applyProtection="1">
      <alignment horizontal="right"/>
    </xf>
    <xf numFmtId="1" fontId="1" fillId="16" borderId="0" xfId="10" applyNumberFormat="1" applyFont="1" applyFill="1" applyBorder="1" applyAlignment="1" applyProtection="1">
      <alignment horizontal="left"/>
      <protection locked="0"/>
    </xf>
    <xf numFmtId="5" fontId="1" fillId="16" borderId="10" xfId="5" applyFont="1" applyFill="1" applyBorder="1" applyAlignment="1" applyProtection="1">
      <alignment horizontal="right"/>
      <protection locked="0"/>
    </xf>
    <xf numFmtId="5" fontId="1" fillId="16" borderId="18" xfId="5" applyFont="1" applyFill="1" applyBorder="1" applyAlignment="1" applyProtection="1">
      <alignment horizontal="right"/>
    </xf>
    <xf numFmtId="37" fontId="1" fillId="16" borderId="0" xfId="10" applyNumberFormat="1" applyFont="1" applyFill="1" applyBorder="1" applyAlignment="1" applyProtection="1">
      <alignment horizontal="centerContinuous"/>
    </xf>
    <xf numFmtId="5" fontId="1" fillId="16" borderId="0" xfId="5" applyFont="1" applyFill="1" applyBorder="1" applyAlignment="1" applyProtection="1">
      <alignment horizontal="right"/>
    </xf>
    <xf numFmtId="5" fontId="3" fillId="16" borderId="0" xfId="5" applyFont="1" applyFill="1" applyBorder="1" applyAlignment="1" applyProtection="1">
      <alignment horizontal="centerContinuous"/>
    </xf>
    <xf numFmtId="5" fontId="3" fillId="16" borderId="0" xfId="5" applyFont="1" applyFill="1" applyBorder="1" applyAlignment="1" applyProtection="1">
      <alignment horizontal="right"/>
    </xf>
    <xf numFmtId="0" fontId="3" fillId="16" borderId="10" xfId="10" applyFont="1" applyFill="1" applyBorder="1" applyProtection="1"/>
    <xf numFmtId="5" fontId="3" fillId="16" borderId="0" xfId="10" applyNumberFormat="1" applyFont="1" applyFill="1" applyBorder="1" applyAlignment="1" applyProtection="1">
      <alignment horizontal="center"/>
    </xf>
    <xf numFmtId="167" fontId="1" fillId="14" borderId="22" xfId="10" applyNumberFormat="1" applyFont="1" applyFill="1" applyBorder="1" applyAlignment="1" applyProtection="1">
      <alignment horizontal="right"/>
      <protection locked="0"/>
    </xf>
    <xf numFmtId="37" fontId="1" fillId="14" borderId="22" xfId="10" applyNumberFormat="1" applyFont="1" applyFill="1" applyBorder="1" applyAlignment="1" applyProtection="1">
      <alignment horizontal="right"/>
      <protection locked="0"/>
    </xf>
    <xf numFmtId="0" fontId="1" fillId="16" borderId="49" xfId="10" applyFont="1" applyFill="1" applyBorder="1" applyProtection="1"/>
    <xf numFmtId="0" fontId="1" fillId="16" borderId="50" xfId="7" applyFont="1" applyFill="1" applyBorder="1" applyAlignment="1" applyProtection="1">
      <alignment wrapText="1"/>
    </xf>
    <xf numFmtId="0" fontId="1" fillId="16" borderId="50" xfId="10" applyFont="1" applyFill="1" applyBorder="1" applyProtection="1"/>
    <xf numFmtId="0" fontId="1" fillId="16" borderId="50" xfId="10" applyFont="1" applyFill="1" applyBorder="1" applyAlignment="1" applyProtection="1">
      <alignment horizontal="right"/>
    </xf>
    <xf numFmtId="5" fontId="3" fillId="16" borderId="0" xfId="10" applyNumberFormat="1" applyFont="1" applyFill="1" applyBorder="1" applyAlignment="1" applyProtection="1">
      <alignment horizontal="right"/>
    </xf>
    <xf numFmtId="5" fontId="1" fillId="16" borderId="0" xfId="10" applyNumberFormat="1" applyFont="1" applyFill="1" applyBorder="1" applyAlignment="1" applyProtection="1">
      <alignment horizontal="right"/>
    </xf>
    <xf numFmtId="37" fontId="3" fillId="16" borderId="0" xfId="10" applyNumberFormat="1" applyFont="1" applyFill="1" applyBorder="1" applyAlignment="1" applyProtection="1">
      <alignment horizontal="center"/>
    </xf>
    <xf numFmtId="5" fontId="3" fillId="16" borderId="0" xfId="5" applyFont="1" applyFill="1" applyBorder="1" applyAlignment="1" applyProtection="1">
      <alignment horizontal="center"/>
    </xf>
    <xf numFmtId="10" fontId="1" fillId="16" borderId="0" xfId="11" applyNumberFormat="1" applyFont="1" applyFill="1" applyBorder="1" applyAlignment="1" applyProtection="1">
      <alignment horizontal="centerContinuous"/>
    </xf>
    <xf numFmtId="10" fontId="1" fillId="16" borderId="0" xfId="11" applyNumberFormat="1" applyFont="1" applyFill="1" applyBorder="1" applyAlignment="1" applyProtection="1">
      <alignment horizontal="center"/>
    </xf>
    <xf numFmtId="37" fontId="1" fillId="16" borderId="0" xfId="11" applyNumberFormat="1" applyFont="1" applyFill="1" applyBorder="1" applyAlignment="1" applyProtection="1">
      <alignment horizontal="right"/>
    </xf>
    <xf numFmtId="10" fontId="1" fillId="16" borderId="0" xfId="11" applyNumberFormat="1" applyFont="1" applyFill="1" applyBorder="1" applyAlignment="1" applyProtection="1">
      <alignment horizontal="centerContinuous"/>
      <protection locked="0"/>
    </xf>
    <xf numFmtId="5" fontId="1" fillId="16" borderId="0" xfId="5" applyNumberFormat="1" applyFont="1" applyFill="1" applyBorder="1" applyProtection="1"/>
    <xf numFmtId="10" fontId="1" fillId="14" borderId="13" xfId="11" applyNumberFormat="1" applyFont="1" applyFill="1" applyBorder="1" applyAlignment="1" applyProtection="1">
      <alignment horizontal="center"/>
      <protection locked="0"/>
    </xf>
    <xf numFmtId="5" fontId="1" fillId="16" borderId="0" xfId="11" applyNumberFormat="1" applyFont="1" applyFill="1" applyBorder="1" applyAlignment="1" applyProtection="1">
      <alignment horizontal="right"/>
    </xf>
    <xf numFmtId="37" fontId="1" fillId="16" borderId="0" xfId="5" applyNumberFormat="1" applyFont="1" applyFill="1" applyBorder="1" applyProtection="1"/>
    <xf numFmtId="37" fontId="1" fillId="16" borderId="0" xfId="11" applyNumberFormat="1" applyFont="1" applyFill="1" applyBorder="1" applyAlignment="1" applyProtection="1">
      <alignment horizontal="right"/>
      <protection locked="0"/>
    </xf>
    <xf numFmtId="5" fontId="32" fillId="16" borderId="55" xfId="10" applyNumberFormat="1" applyFont="1" applyFill="1" applyBorder="1" applyProtection="1">
      <protection locked="0"/>
    </xf>
    <xf numFmtId="5" fontId="14" fillId="16" borderId="55" xfId="5" applyFont="1" applyFill="1" applyBorder="1" applyAlignment="1" applyProtection="1">
      <alignment horizontal="right"/>
      <protection locked="0"/>
    </xf>
    <xf numFmtId="5" fontId="14" fillId="16" borderId="55" xfId="10" applyNumberFormat="1" applyFont="1" applyFill="1" applyBorder="1" applyAlignment="1" applyProtection="1">
      <alignment horizontal="center"/>
      <protection locked="0"/>
    </xf>
    <xf numFmtId="37" fontId="32" fillId="16" borderId="55" xfId="10" applyNumberFormat="1" applyFont="1" applyFill="1" applyBorder="1" applyProtection="1">
      <protection locked="0"/>
    </xf>
    <xf numFmtId="5" fontId="1" fillId="16" borderId="50" xfId="5" applyFont="1" applyFill="1" applyBorder="1" applyAlignment="1" applyProtection="1">
      <alignment horizontal="right"/>
    </xf>
    <xf numFmtId="0" fontId="1" fillId="16" borderId="50" xfId="10" applyFont="1" applyFill="1" applyBorder="1" applyAlignment="1" applyProtection="1">
      <alignment horizontal="center"/>
    </xf>
    <xf numFmtId="37" fontId="1" fillId="16" borderId="50" xfId="10" applyNumberFormat="1" applyFont="1" applyFill="1" applyBorder="1" applyAlignment="1" applyProtection="1">
      <alignment horizontal="centerContinuous"/>
    </xf>
    <xf numFmtId="0" fontId="1" fillId="16" borderId="50" xfId="10" applyFont="1" applyFill="1" applyBorder="1" applyAlignment="1" applyProtection="1">
      <alignment horizontal="centerContinuous"/>
    </xf>
    <xf numFmtId="5" fontId="1" fillId="16" borderId="7" xfId="5" applyFont="1" applyFill="1" applyBorder="1" applyAlignment="1" applyProtection="1">
      <alignment horizontal="right"/>
      <protection locked="0"/>
    </xf>
    <xf numFmtId="0" fontId="14" fillId="16" borderId="55" xfId="10" applyFont="1" applyFill="1" applyBorder="1" applyAlignment="1" applyProtection="1">
      <alignment horizontal="center"/>
      <protection locked="0"/>
    </xf>
    <xf numFmtId="37" fontId="14" fillId="16" borderId="55" xfId="10" applyNumberFormat="1" applyFont="1" applyFill="1" applyBorder="1" applyProtection="1">
      <protection locked="0"/>
    </xf>
    <xf numFmtId="37" fontId="1" fillId="16" borderId="10" xfId="5" applyNumberFormat="1" applyFont="1" applyFill="1" applyBorder="1" applyAlignment="1" applyProtection="1">
      <alignment horizontal="right"/>
    </xf>
    <xf numFmtId="37" fontId="1" fillId="16" borderId="10" xfId="10" applyNumberFormat="1" applyFont="1" applyFill="1" applyBorder="1" applyAlignment="1" applyProtection="1">
      <alignment horizontal="right"/>
    </xf>
    <xf numFmtId="1" fontId="1" fillId="16" borderId="0" xfId="10" applyNumberFormat="1" applyFont="1" applyFill="1" applyBorder="1" applyAlignment="1" applyProtection="1">
      <alignment horizontal="right"/>
    </xf>
    <xf numFmtId="1" fontId="1" fillId="16" borderId="0" xfId="10" applyNumberFormat="1" applyFont="1" applyFill="1" applyBorder="1" applyAlignment="1" applyProtection="1">
      <alignment horizontal="left"/>
    </xf>
    <xf numFmtId="0" fontId="3" fillId="13" borderId="0" xfId="10" applyNumberFormat="1" applyFont="1" applyFill="1" applyAlignment="1" applyProtection="1"/>
    <xf numFmtId="0" fontId="3" fillId="13" borderId="0" xfId="10" applyFont="1" applyFill="1" applyAlignment="1" applyProtection="1"/>
    <xf numFmtId="38" fontId="2" fillId="13" borderId="0" xfId="7" applyNumberFormat="1" applyFont="1" applyFill="1" applyProtection="1">
      <protection locked="0"/>
    </xf>
    <xf numFmtId="38" fontId="14" fillId="13" borderId="0" xfId="7" applyNumberFormat="1" applyFont="1" applyFill="1" applyProtection="1">
      <protection locked="0"/>
    </xf>
    <xf numFmtId="38" fontId="2" fillId="13" borderId="0" xfId="7" applyNumberFormat="1" applyFont="1" applyFill="1" applyBorder="1" applyProtection="1">
      <protection locked="0"/>
    </xf>
    <xf numFmtId="38" fontId="14" fillId="13" borderId="0" xfId="7" applyNumberFormat="1" applyFont="1" applyFill="1" applyBorder="1" applyProtection="1">
      <protection locked="0"/>
    </xf>
    <xf numFmtId="0" fontId="2" fillId="13" borderId="0" xfId="7" applyFont="1" applyFill="1" applyAlignment="1" applyProtection="1">
      <alignment horizontal="right" vertical="top"/>
      <protection locked="0"/>
    </xf>
    <xf numFmtId="0" fontId="2" fillId="13" borderId="0" xfId="7" applyFont="1" applyFill="1" applyAlignment="1" applyProtection="1">
      <alignment vertical="top"/>
      <protection locked="0"/>
    </xf>
    <xf numFmtId="38" fontId="14" fillId="13" borderId="0" xfId="7" applyNumberFormat="1" applyFont="1" applyFill="1" applyBorder="1" applyAlignment="1" applyProtection="1">
      <protection locked="0"/>
    </xf>
    <xf numFmtId="38" fontId="14" fillId="13" borderId="0" xfId="7" applyNumberFormat="1" applyFont="1" applyFill="1" applyAlignment="1" applyProtection="1">
      <protection locked="0"/>
    </xf>
    <xf numFmtId="0" fontId="2" fillId="13" borderId="0" xfId="7" applyFont="1" applyFill="1" applyAlignment="1" applyProtection="1">
      <alignment horizontal="left" vertical="top"/>
      <protection locked="0"/>
    </xf>
    <xf numFmtId="38" fontId="1" fillId="13" borderId="0" xfId="10" applyNumberFormat="1" applyFont="1" applyFill="1" applyAlignment="1" applyProtection="1">
      <alignment horizontal="right"/>
    </xf>
    <xf numFmtId="0" fontId="1" fillId="13" borderId="0" xfId="10" applyFont="1" applyFill="1" applyBorder="1" applyAlignment="1" applyProtection="1"/>
    <xf numFmtId="0" fontId="1" fillId="13" borderId="0" xfId="10" applyFont="1" applyFill="1" applyBorder="1" applyAlignment="1" applyProtection="1">
      <alignment horizontal="centerContinuous" wrapText="1"/>
    </xf>
    <xf numFmtId="38" fontId="1" fillId="13" borderId="0" xfId="10" applyNumberFormat="1" applyFont="1" applyFill="1" applyBorder="1" applyAlignment="1" applyProtection="1">
      <alignment horizontal="centerContinuous"/>
    </xf>
    <xf numFmtId="38" fontId="1" fillId="13" borderId="0" xfId="10" applyNumberFormat="1" applyFont="1" applyFill="1" applyBorder="1" applyProtection="1"/>
    <xf numFmtId="38" fontId="1" fillId="16" borderId="0" xfId="7" applyNumberFormat="1" applyFont="1" applyFill="1" applyBorder="1" applyProtection="1"/>
    <xf numFmtId="38" fontId="1" fillId="16" borderId="0" xfId="7" applyNumberFormat="1" applyFont="1" applyFill="1" applyBorder="1" applyAlignment="1" applyProtection="1">
      <alignment horizontal="center"/>
    </xf>
    <xf numFmtId="38" fontId="2" fillId="16" borderId="0" xfId="7" applyNumberFormat="1" applyFont="1" applyFill="1" applyBorder="1" applyProtection="1">
      <protection locked="0"/>
    </xf>
    <xf numFmtId="0" fontId="14" fillId="16" borderId="0" xfId="7" applyFont="1" applyFill="1" applyBorder="1" applyProtection="1">
      <protection locked="0"/>
    </xf>
    <xf numFmtId="38" fontId="14" fillId="16" borderId="0" xfId="7" applyNumberFormat="1" applyFont="1" applyFill="1" applyBorder="1" applyProtection="1">
      <protection locked="0"/>
    </xf>
    <xf numFmtId="0" fontId="15" fillId="16" borderId="0" xfId="7" applyFont="1" applyFill="1" applyBorder="1" applyProtection="1"/>
    <xf numFmtId="38" fontId="54" fillId="16" borderId="0" xfId="7" applyNumberFormat="1" applyFont="1" applyFill="1" applyBorder="1" applyProtection="1"/>
    <xf numFmtId="38" fontId="15" fillId="16" borderId="0" xfId="7" applyNumberFormat="1" applyFont="1" applyFill="1" applyBorder="1" applyProtection="1"/>
    <xf numFmtId="38" fontId="15" fillId="16" borderId="0" xfId="7" applyNumberFormat="1" applyFont="1" applyFill="1" applyBorder="1" applyAlignment="1" applyProtection="1">
      <alignment horizontal="center"/>
    </xf>
    <xf numFmtId="0" fontId="15" fillId="16" borderId="0" xfId="7" applyFont="1" applyFill="1" applyBorder="1" applyAlignment="1" applyProtection="1">
      <alignment horizontal="center"/>
    </xf>
    <xf numFmtId="0" fontId="58" fillId="16" borderId="0" xfId="7" applyNumberFormat="1" applyFont="1" applyFill="1" applyBorder="1" applyAlignment="1" applyProtection="1">
      <alignment horizontal="center"/>
    </xf>
    <xf numFmtId="172" fontId="58" fillId="16" borderId="0" xfId="7" applyNumberFormat="1" applyFont="1" applyFill="1" applyBorder="1" applyAlignment="1" applyProtection="1">
      <alignment horizontal="center"/>
    </xf>
    <xf numFmtId="38" fontId="54" fillId="16" borderId="0" xfId="7" applyNumberFormat="1" applyFont="1" applyFill="1" applyBorder="1" applyProtection="1">
      <protection locked="0"/>
    </xf>
    <xf numFmtId="6" fontId="54" fillId="14" borderId="13" xfId="7" applyNumberFormat="1" applyFont="1" applyFill="1" applyBorder="1" applyProtection="1">
      <protection locked="0"/>
    </xf>
    <xf numFmtId="38" fontId="54" fillId="14" borderId="13" xfId="7" applyNumberFormat="1" applyFont="1" applyFill="1" applyBorder="1" applyProtection="1">
      <protection locked="0"/>
    </xf>
    <xf numFmtId="38" fontId="15" fillId="16" borderId="0" xfId="7" applyNumberFormat="1" applyFont="1" applyFill="1" applyBorder="1" applyProtection="1">
      <protection locked="0"/>
    </xf>
    <xf numFmtId="6" fontId="54" fillId="16" borderId="0" xfId="7" applyNumberFormat="1" applyFont="1" applyFill="1" applyBorder="1" applyProtection="1"/>
    <xf numFmtId="38" fontId="1" fillId="16" borderId="0" xfId="7" applyNumberFormat="1" applyFont="1" applyFill="1" applyBorder="1" applyProtection="1">
      <protection locked="0"/>
    </xf>
    <xf numFmtId="6" fontId="1" fillId="16" borderId="29" xfId="7" applyNumberFormat="1" applyFont="1" applyFill="1" applyBorder="1" applyProtection="1"/>
    <xf numFmtId="0" fontId="10" fillId="13" borderId="0" xfId="7" applyFont="1" applyFill="1" applyProtection="1">
      <protection locked="0"/>
    </xf>
    <xf numFmtId="38" fontId="3" fillId="16" borderId="0" xfId="7" applyNumberFormat="1" applyFont="1" applyFill="1" applyBorder="1" applyAlignment="1" applyProtection="1">
      <alignment horizontal="center"/>
      <protection locked="0"/>
    </xf>
    <xf numFmtId="37" fontId="3" fillId="16" borderId="0" xfId="10" applyNumberFormat="1" applyFont="1" applyFill="1" applyBorder="1" applyAlignment="1" applyProtection="1">
      <alignment horizontal="center"/>
      <protection locked="0"/>
    </xf>
    <xf numFmtId="38" fontId="3" fillId="16" borderId="10" xfId="10" applyNumberFormat="1" applyFont="1" applyFill="1" applyBorder="1" applyAlignment="1" applyProtection="1">
      <alignment horizontal="center"/>
      <protection locked="0"/>
    </xf>
    <xf numFmtId="49" fontId="3" fillId="16" borderId="10" xfId="7" applyNumberFormat="1" applyFont="1" applyFill="1" applyBorder="1" applyAlignment="1" applyProtection="1">
      <alignment horizontal="center"/>
      <protection locked="0"/>
    </xf>
    <xf numFmtId="0" fontId="3" fillId="16" borderId="10" xfId="7" applyFont="1" applyFill="1" applyBorder="1" applyAlignment="1" applyProtection="1">
      <alignment horizontal="center"/>
      <protection locked="0"/>
    </xf>
    <xf numFmtId="6" fontId="1" fillId="14" borderId="13" xfId="7" applyNumberFormat="1" applyFont="1" applyFill="1" applyBorder="1" applyProtection="1">
      <protection locked="0"/>
    </xf>
    <xf numFmtId="38" fontId="1" fillId="16" borderId="50" xfId="7" applyNumberFormat="1" applyFont="1" applyFill="1" applyBorder="1" applyProtection="1">
      <protection locked="0"/>
    </xf>
    <xf numFmtId="0" fontId="1" fillId="16" borderId="51" xfId="7" applyFont="1" applyFill="1" applyBorder="1" applyProtection="1">
      <protection locked="0"/>
    </xf>
    <xf numFmtId="0" fontId="1" fillId="16" borderId="65" xfId="7" applyFont="1" applyFill="1" applyBorder="1" applyProtection="1">
      <protection locked="0"/>
    </xf>
    <xf numFmtId="6" fontId="1" fillId="16" borderId="0" xfId="7" applyNumberFormat="1" applyFont="1" applyFill="1" applyBorder="1" applyProtection="1">
      <protection locked="0"/>
    </xf>
    <xf numFmtId="0" fontId="1" fillId="16" borderId="54" xfId="7" applyFont="1" applyFill="1" applyBorder="1" applyProtection="1">
      <protection locked="0"/>
    </xf>
    <xf numFmtId="38" fontId="1" fillId="16" borderId="55" xfId="7" applyNumberFormat="1" applyFont="1" applyFill="1" applyBorder="1" applyProtection="1">
      <protection locked="0"/>
    </xf>
    <xf numFmtId="0" fontId="1" fillId="16" borderId="56" xfId="7" applyFont="1" applyFill="1" applyBorder="1" applyProtection="1">
      <protection locked="0"/>
    </xf>
    <xf numFmtId="0" fontId="1" fillId="16" borderId="49" xfId="7" applyFont="1" applyFill="1" applyBorder="1" applyProtection="1"/>
    <xf numFmtId="0" fontId="1" fillId="16" borderId="50" xfId="7" applyFont="1" applyFill="1" applyBorder="1" applyProtection="1"/>
    <xf numFmtId="38" fontId="1" fillId="16" borderId="50" xfId="7" applyNumberFormat="1" applyFont="1" applyFill="1" applyBorder="1" applyProtection="1"/>
    <xf numFmtId="0" fontId="15" fillId="16" borderId="52" xfId="7" applyFont="1" applyFill="1" applyBorder="1" applyProtection="1"/>
    <xf numFmtId="0" fontId="54" fillId="16" borderId="52" xfId="7" applyFont="1" applyFill="1" applyBorder="1" applyProtection="1"/>
    <xf numFmtId="0" fontId="61" fillId="16" borderId="52" xfId="7" applyFont="1" applyFill="1" applyBorder="1" applyProtection="1">
      <protection locked="0"/>
    </xf>
    <xf numFmtId="0" fontId="14" fillId="16" borderId="53" xfId="7" applyFont="1" applyFill="1" applyBorder="1" applyProtection="1">
      <protection locked="0"/>
    </xf>
    <xf numFmtId="38" fontId="2" fillId="16" borderId="55" xfId="7" applyNumberFormat="1" applyFont="1" applyFill="1" applyBorder="1" applyProtection="1">
      <protection locked="0"/>
    </xf>
    <xf numFmtId="38" fontId="3" fillId="16" borderId="10" xfId="7" applyNumberFormat="1" applyFont="1" applyFill="1" applyBorder="1" applyAlignment="1" applyProtection="1">
      <alignment horizontal="center"/>
    </xf>
    <xf numFmtId="38" fontId="3" fillId="16" borderId="10" xfId="10" applyNumberFormat="1" applyFont="1" applyFill="1" applyBorder="1" applyAlignment="1" applyProtection="1">
      <alignment horizontal="center"/>
    </xf>
    <xf numFmtId="165" fontId="1" fillId="14" borderId="13" xfId="7" applyNumberFormat="1" applyFill="1" applyBorder="1"/>
    <xf numFmtId="0" fontId="1" fillId="13" borderId="0" xfId="7" applyFont="1" applyFill="1" applyAlignment="1" applyProtection="1">
      <alignment horizontal="right"/>
    </xf>
    <xf numFmtId="3" fontId="2" fillId="14" borderId="13" xfId="7" applyNumberFormat="1" applyFont="1" applyFill="1" applyBorder="1" applyAlignment="1" applyProtection="1">
      <alignment horizontal="right"/>
      <protection locked="0"/>
    </xf>
    <xf numFmtId="1" fontId="2" fillId="14" borderId="13" xfId="7" applyNumberFormat="1" applyFont="1" applyFill="1" applyBorder="1" applyAlignment="1" applyProtection="1">
      <alignment horizontal="right"/>
      <protection locked="0"/>
    </xf>
    <xf numFmtId="2" fontId="2" fillId="14" borderId="13" xfId="7" applyNumberFormat="1" applyFont="1" applyFill="1" applyBorder="1" applyAlignment="1" applyProtection="1">
      <alignment horizontal="right"/>
      <protection locked="0"/>
    </xf>
    <xf numFmtId="2" fontId="1" fillId="14" borderId="13" xfId="7" applyNumberFormat="1" applyFont="1" applyFill="1" applyBorder="1" applyAlignment="1" applyProtection="1">
      <alignment horizontal="right"/>
      <protection locked="0"/>
    </xf>
    <xf numFmtId="1" fontId="2" fillId="14" borderId="20" xfId="7" applyNumberFormat="1" applyFont="1" applyFill="1" applyBorder="1" applyAlignment="1" applyProtection="1">
      <alignment horizontal="right"/>
      <protection locked="0"/>
    </xf>
    <xf numFmtId="0" fontId="3" fillId="13" borderId="0" xfId="7" applyFont="1" applyFill="1" applyAlignment="1" applyProtection="1">
      <alignment horizontal="left"/>
    </xf>
    <xf numFmtId="0" fontId="14" fillId="17" borderId="0" xfId="7" applyFont="1" applyFill="1" applyBorder="1" applyAlignment="1" applyProtection="1">
      <alignment horizontal="right"/>
      <protection locked="0"/>
    </xf>
    <xf numFmtId="0" fontId="2" fillId="17" borderId="0" xfId="7" applyFont="1" applyFill="1" applyBorder="1" applyProtection="1">
      <protection locked="0"/>
    </xf>
    <xf numFmtId="0" fontId="1" fillId="17" borderId="0" xfId="7" applyFont="1" applyFill="1" applyBorder="1" applyAlignment="1" applyProtection="1">
      <alignment horizontal="right"/>
      <protection locked="0"/>
    </xf>
    <xf numFmtId="3" fontId="1" fillId="17" borderId="0" xfId="7" applyNumberFormat="1" applyFont="1" applyFill="1" applyBorder="1" applyAlignment="1" applyProtection="1">
      <alignment horizontal="right"/>
    </xf>
    <xf numFmtId="3" fontId="1" fillId="17" borderId="0" xfId="7" applyNumberFormat="1" applyFont="1" applyFill="1" applyBorder="1" applyAlignment="1" applyProtection="1">
      <alignment horizontal="right"/>
      <protection locked="0"/>
    </xf>
    <xf numFmtId="3" fontId="1" fillId="17" borderId="0" xfId="7" applyNumberFormat="1" applyFont="1" applyFill="1" applyBorder="1" applyAlignment="1" applyProtection="1">
      <alignment horizontal="right" wrapText="1"/>
    </xf>
    <xf numFmtId="3" fontId="1" fillId="17" borderId="0" xfId="7" applyNumberFormat="1" applyFont="1" applyFill="1" applyBorder="1" applyProtection="1">
      <protection locked="0"/>
    </xf>
    <xf numFmtId="0" fontId="1" fillId="17" borderId="0" xfId="7" applyFont="1" applyFill="1" applyBorder="1" applyProtection="1">
      <protection locked="0"/>
    </xf>
    <xf numFmtId="3" fontId="2" fillId="17" borderId="0" xfId="7" applyNumberFormat="1" applyFont="1" applyFill="1" applyBorder="1" applyAlignment="1" applyProtection="1">
      <alignment horizontal="right"/>
      <protection locked="0"/>
    </xf>
    <xf numFmtId="0" fontId="3" fillId="17" borderId="10" xfId="7" applyFont="1" applyFill="1" applyBorder="1" applyAlignment="1" applyProtection="1">
      <alignment horizontal="right"/>
      <protection locked="0"/>
    </xf>
    <xf numFmtId="0" fontId="3" fillId="17" borderId="10" xfId="7" applyFont="1" applyFill="1" applyBorder="1" applyAlignment="1" applyProtection="1">
      <alignment horizontal="right"/>
    </xf>
    <xf numFmtId="0" fontId="28" fillId="17" borderId="10" xfId="7" applyFont="1" applyFill="1" applyBorder="1" applyAlignment="1" applyProtection="1">
      <alignment horizontal="right"/>
    </xf>
    <xf numFmtId="0" fontId="3" fillId="17" borderId="10" xfId="7" applyFont="1" applyFill="1" applyBorder="1" applyAlignment="1" applyProtection="1">
      <alignment horizontal="center" wrapText="1"/>
    </xf>
    <xf numFmtId="3" fontId="1" fillId="17" borderId="29" xfId="7" applyNumberFormat="1" applyFont="1" applyFill="1" applyBorder="1" applyAlignment="1" applyProtection="1">
      <alignment horizontal="right"/>
    </xf>
    <xf numFmtId="0" fontId="3" fillId="17" borderId="74" xfId="7" applyFont="1" applyFill="1" applyBorder="1" applyAlignment="1" applyProtection="1">
      <alignment horizontal="center"/>
      <protection locked="0"/>
    </xf>
    <xf numFmtId="0" fontId="3" fillId="17" borderId="75" xfId="7" applyFont="1" applyFill="1" applyBorder="1" applyAlignment="1" applyProtection="1">
      <alignment horizontal="right"/>
      <protection locked="0"/>
    </xf>
    <xf numFmtId="0" fontId="3" fillId="17" borderId="75" xfId="7" applyFont="1" applyFill="1" applyBorder="1" applyAlignment="1" applyProtection="1">
      <alignment horizontal="center" wrapText="1"/>
    </xf>
    <xf numFmtId="0" fontId="9" fillId="17" borderId="60" xfId="7" applyFont="1" applyFill="1" applyBorder="1" applyAlignment="1" applyProtection="1">
      <alignment horizontal="center"/>
      <protection locked="0"/>
    </xf>
    <xf numFmtId="0" fontId="2" fillId="17" borderId="61" xfId="7" applyFont="1" applyFill="1" applyBorder="1" applyProtection="1">
      <protection locked="0"/>
    </xf>
    <xf numFmtId="0" fontId="1" fillId="17" borderId="60" xfId="7" applyFont="1" applyFill="1" applyBorder="1" applyAlignment="1" applyProtection="1">
      <alignment horizontal="center"/>
    </xf>
    <xf numFmtId="0" fontId="1" fillId="17" borderId="60" xfId="7" applyFont="1" applyFill="1" applyBorder="1" applyAlignment="1" applyProtection="1">
      <alignment horizontal="right"/>
      <protection locked="0"/>
    </xf>
    <xf numFmtId="0" fontId="1" fillId="17" borderId="60" xfId="7" applyFont="1" applyFill="1" applyBorder="1" applyAlignment="1" applyProtection="1">
      <alignment horizontal="left"/>
      <protection locked="0"/>
    </xf>
    <xf numFmtId="0" fontId="3" fillId="17" borderId="60" xfId="7" applyFont="1" applyFill="1" applyBorder="1" applyAlignment="1" applyProtection="1">
      <alignment horizontal="left"/>
      <protection locked="0"/>
    </xf>
    <xf numFmtId="0" fontId="3" fillId="17" borderId="60" xfId="7" applyFont="1" applyFill="1" applyBorder="1" applyAlignment="1" applyProtection="1">
      <alignment horizontal="right"/>
      <protection locked="0"/>
    </xf>
    <xf numFmtId="0" fontId="3" fillId="17" borderId="76" xfId="7" applyFont="1" applyFill="1" applyBorder="1" applyAlignment="1" applyProtection="1">
      <alignment horizontal="left" wrapText="1"/>
      <protection locked="0"/>
    </xf>
    <xf numFmtId="0" fontId="1" fillId="17" borderId="60" xfId="7" applyFont="1" applyFill="1" applyBorder="1" applyProtection="1">
      <protection locked="0"/>
    </xf>
    <xf numFmtId="0" fontId="3" fillId="17" borderId="76" xfId="7" applyFont="1" applyFill="1" applyBorder="1" applyAlignment="1" applyProtection="1">
      <alignment horizontal="left"/>
      <protection locked="0"/>
    </xf>
    <xf numFmtId="0" fontId="1" fillId="17" borderId="61" xfId="7" applyFont="1" applyFill="1" applyBorder="1" applyProtection="1">
      <protection locked="0"/>
    </xf>
    <xf numFmtId="0" fontId="2" fillId="17" borderId="62" xfId="7" applyFont="1" applyFill="1" applyBorder="1" applyProtection="1">
      <protection locked="0"/>
    </xf>
    <xf numFmtId="0" fontId="2" fillId="17" borderId="63" xfId="7" applyFont="1" applyFill="1" applyBorder="1" applyProtection="1">
      <protection locked="0"/>
    </xf>
    <xf numFmtId="0" fontId="2" fillId="17" borderId="64" xfId="7" applyFont="1" applyFill="1" applyBorder="1" applyProtection="1">
      <protection locked="0"/>
    </xf>
    <xf numFmtId="0" fontId="1" fillId="17" borderId="0" xfId="7" applyFont="1" applyFill="1" applyBorder="1" applyAlignment="1" applyProtection="1">
      <alignment horizontal="right"/>
    </xf>
    <xf numFmtId="0" fontId="2" fillId="13" borderId="0" xfId="7" applyFont="1" applyFill="1" applyAlignment="1" applyProtection="1">
      <alignment horizontal="right"/>
      <protection locked="0"/>
    </xf>
    <xf numFmtId="0" fontId="6" fillId="13" borderId="0" xfId="7" applyFont="1" applyFill="1" applyProtection="1">
      <protection locked="0"/>
    </xf>
    <xf numFmtId="49" fontId="6" fillId="13" borderId="0" xfId="7" applyNumberFormat="1" applyFont="1" applyFill="1" applyProtection="1">
      <protection locked="0"/>
    </xf>
    <xf numFmtId="0" fontId="28" fillId="13" borderId="0" xfId="7" applyFont="1" applyFill="1" applyProtection="1">
      <protection locked="0"/>
    </xf>
    <xf numFmtId="0" fontId="3" fillId="13" borderId="0" xfId="7" applyFont="1" applyFill="1" applyAlignment="1" applyProtection="1">
      <alignment horizontal="left" vertical="top" wrapText="1"/>
      <protection locked="0"/>
    </xf>
    <xf numFmtId="0" fontId="2" fillId="13" borderId="0" xfId="7" applyFont="1" applyFill="1"/>
    <xf numFmtId="0" fontId="1" fillId="0" borderId="0" xfId="7" applyFill="1" applyAlignment="1" applyProtection="1"/>
    <xf numFmtId="0" fontId="1" fillId="0" borderId="0" xfId="7" applyFill="1" applyAlignment="1" applyProtection="1">
      <protection locked="0"/>
    </xf>
    <xf numFmtId="0" fontId="31" fillId="0" borderId="0" xfId="10" applyFont="1" applyFill="1" applyAlignment="1" applyProtection="1">
      <alignment horizontal="left"/>
      <protection locked="0"/>
    </xf>
    <xf numFmtId="0" fontId="2" fillId="0" borderId="0" xfId="10" applyFont="1" applyFill="1" applyAlignment="1" applyProtection="1">
      <alignment horizontal="fill"/>
      <protection locked="0"/>
    </xf>
    <xf numFmtId="37" fontId="9" fillId="0" borderId="0" xfId="10" applyNumberFormat="1" applyFont="1" applyFill="1" applyBorder="1" applyAlignment="1" applyProtection="1">
      <alignment horizontal="centerContinuous"/>
      <protection locked="0"/>
    </xf>
    <xf numFmtId="0" fontId="25" fillId="0" borderId="0" xfId="10" applyFont="1" applyFill="1" applyBorder="1" applyAlignment="1" applyProtection="1">
      <alignment horizontal="centerContinuous"/>
      <protection locked="0"/>
    </xf>
    <xf numFmtId="0" fontId="2" fillId="0" borderId="0" xfId="10" applyFont="1" applyFill="1" applyBorder="1" applyProtection="1">
      <protection locked="0"/>
    </xf>
    <xf numFmtId="5" fontId="14" fillId="0" borderId="0" xfId="10" applyNumberFormat="1" applyFont="1" applyFill="1" applyBorder="1" applyProtection="1"/>
    <xf numFmtId="37" fontId="14" fillId="0" borderId="0" xfId="10" applyNumberFormat="1" applyFont="1" applyFill="1" applyBorder="1" applyProtection="1"/>
    <xf numFmtId="0" fontId="2" fillId="0" borderId="0" xfId="10" applyFont="1" applyFill="1" applyBorder="1" applyProtection="1">
      <protection locked="0" hidden="1"/>
    </xf>
    <xf numFmtId="5" fontId="14" fillId="0" borderId="0" xfId="10" applyNumberFormat="1" applyFont="1" applyFill="1" applyBorder="1" applyAlignment="1" applyProtection="1">
      <alignment horizontal="right"/>
      <protection locked="0" hidden="1"/>
    </xf>
    <xf numFmtId="5" fontId="9" fillId="0" borderId="0" xfId="10" applyNumberFormat="1" applyFont="1" applyFill="1" applyBorder="1" applyAlignment="1" applyProtection="1">
      <alignment horizontal="right"/>
      <protection locked="0" hidden="1"/>
    </xf>
    <xf numFmtId="37" fontId="14" fillId="0" borderId="0" xfId="10" applyNumberFormat="1" applyFont="1" applyFill="1" applyBorder="1" applyAlignment="1" applyProtection="1">
      <alignment horizontal="fill"/>
      <protection locked="0"/>
    </xf>
    <xf numFmtId="37" fontId="31" fillId="0" borderId="0" xfId="10" applyNumberFormat="1" applyFont="1" applyFill="1" applyBorder="1" applyAlignment="1" applyProtection="1">
      <alignment horizontal="fill"/>
      <protection locked="0"/>
    </xf>
    <xf numFmtId="5" fontId="14" fillId="0" borderId="0" xfId="10" applyNumberFormat="1" applyFont="1" applyFill="1" applyBorder="1" applyProtection="1">
      <protection locked="0" hidden="1"/>
    </xf>
    <xf numFmtId="37" fontId="14" fillId="0" borderId="0" xfId="10" applyNumberFormat="1" applyFont="1" applyFill="1" applyBorder="1" applyProtection="1">
      <protection locked="0" hidden="1"/>
    </xf>
    <xf numFmtId="5" fontId="2" fillId="0" borderId="0" xfId="10" applyNumberFormat="1" applyFont="1" applyFill="1" applyBorder="1" applyProtection="1">
      <protection locked="0"/>
    </xf>
    <xf numFmtId="37" fontId="14" fillId="0" borderId="0" xfId="10" applyNumberFormat="1" applyFont="1" applyFill="1" applyBorder="1" applyProtection="1">
      <protection locked="0"/>
    </xf>
    <xf numFmtId="5" fontId="14" fillId="0" borderId="0" xfId="10" applyNumberFormat="1" applyFont="1" applyFill="1" applyBorder="1" applyAlignment="1" applyProtection="1">
      <alignment horizontal="fill"/>
      <protection locked="0"/>
    </xf>
    <xf numFmtId="5" fontId="14" fillId="0" borderId="0" xfId="10" applyNumberFormat="1" applyFont="1" applyFill="1" applyBorder="1" applyAlignment="1" applyProtection="1">
      <alignment horizontal="fill"/>
      <protection locked="0" hidden="1"/>
    </xf>
    <xf numFmtId="37" fontId="2" fillId="0" borderId="0" xfId="10" applyNumberFormat="1" applyFont="1" applyFill="1" applyBorder="1" applyProtection="1">
      <protection locked="0"/>
    </xf>
    <xf numFmtId="5" fontId="32" fillId="0" borderId="0" xfId="10" applyNumberFormat="1" applyFont="1" applyFill="1" applyBorder="1" applyProtection="1">
      <protection locked="0"/>
    </xf>
    <xf numFmtId="0" fontId="32" fillId="0" borderId="0" xfId="10" applyFont="1" applyFill="1" applyBorder="1" applyProtection="1">
      <protection locked="0"/>
    </xf>
    <xf numFmtId="10" fontId="14" fillId="0" borderId="0" xfId="10" applyNumberFormat="1" applyFont="1" applyFill="1" applyBorder="1" applyProtection="1"/>
    <xf numFmtId="37" fontId="14" fillId="0" borderId="0" xfId="10" applyNumberFormat="1" applyFont="1" applyFill="1" applyProtection="1">
      <protection locked="0"/>
    </xf>
    <xf numFmtId="0" fontId="75" fillId="0" borderId="0" xfId="10" applyFont="1" applyFill="1" applyProtection="1">
      <protection locked="0"/>
    </xf>
    <xf numFmtId="0" fontId="75" fillId="0" borderId="0" xfId="7" applyFont="1" applyFill="1" applyProtection="1">
      <protection locked="0"/>
    </xf>
    <xf numFmtId="0" fontId="75" fillId="0" borderId="0" xfId="7" applyFont="1" applyFill="1" applyBorder="1" applyProtection="1">
      <protection locked="0"/>
    </xf>
    <xf numFmtId="0" fontId="1" fillId="0" borderId="0" xfId="7" applyFill="1"/>
    <xf numFmtId="0" fontId="4" fillId="13" borderId="0" xfId="10" applyFont="1" applyFill="1" applyProtection="1">
      <protection locked="0" hidden="1"/>
    </xf>
    <xf numFmtId="0" fontId="1" fillId="13" borderId="0" xfId="10" applyFont="1" applyFill="1" applyBorder="1" applyAlignment="1" applyProtection="1">
      <alignment horizontal="centerContinuous"/>
      <protection locked="0"/>
    </xf>
    <xf numFmtId="0" fontId="1" fillId="14" borderId="13" xfId="7" applyNumberFormat="1" applyFont="1" applyFill="1" applyBorder="1" applyAlignment="1" applyProtection="1">
      <alignment horizontal="center" vertical="center"/>
      <protection locked="0"/>
    </xf>
    <xf numFmtId="44" fontId="75" fillId="16" borderId="0" xfId="3" applyFont="1" applyFill="1" applyBorder="1" applyAlignment="1" applyProtection="1">
      <alignment vertical="top" wrapText="1"/>
      <protection locked="0"/>
    </xf>
    <xf numFmtId="44" fontId="75" fillId="14" borderId="13" xfId="3" applyFont="1" applyFill="1" applyBorder="1" applyProtection="1">
      <protection locked="0"/>
    </xf>
    <xf numFmtId="165" fontId="54" fillId="16" borderId="0" xfId="3" applyNumberFormat="1" applyFont="1" applyFill="1" applyBorder="1" applyProtection="1">
      <protection hidden="1"/>
    </xf>
    <xf numFmtId="165" fontId="54" fillId="16" borderId="0" xfId="10" applyNumberFormat="1" applyFont="1" applyFill="1" applyBorder="1" applyProtection="1">
      <protection hidden="1"/>
    </xf>
    <xf numFmtId="5" fontId="75" fillId="14" borderId="13" xfId="10" applyNumberFormat="1" applyFont="1" applyFill="1" applyBorder="1" applyProtection="1">
      <protection locked="0"/>
    </xf>
    <xf numFmtId="14" fontId="1" fillId="14" borderId="13" xfId="7" applyNumberFormat="1" applyFont="1" applyFill="1" applyBorder="1" applyProtection="1">
      <protection locked="0"/>
    </xf>
    <xf numFmtId="5" fontId="54" fillId="14" borderId="13" xfId="10" applyNumberFormat="1" applyFont="1" applyFill="1" applyBorder="1" applyProtection="1"/>
    <xf numFmtId="37" fontId="54" fillId="14" borderId="13" xfId="10" applyNumberFormat="1" applyFont="1" applyFill="1" applyBorder="1" applyProtection="1"/>
    <xf numFmtId="37" fontId="54" fillId="14" borderId="12" xfId="5" applyNumberFormat="1" applyFont="1" applyFill="1" applyBorder="1" applyProtection="1">
      <protection locked="0"/>
    </xf>
    <xf numFmtId="37" fontId="54" fillId="16" borderId="7" xfId="5" applyNumberFormat="1" applyFont="1" applyFill="1" applyBorder="1" applyProtection="1">
      <protection locked="0"/>
    </xf>
    <xf numFmtId="37" fontId="54" fillId="16" borderId="0" xfId="10" applyNumberFormat="1" applyFont="1" applyFill="1" applyBorder="1" applyAlignment="1" applyProtection="1">
      <alignment horizontal="right"/>
    </xf>
    <xf numFmtId="37" fontId="54" fillId="14" borderId="13" xfId="10" applyNumberFormat="1" applyFont="1" applyFill="1" applyBorder="1" applyAlignment="1" applyProtection="1">
      <alignment horizontal="right"/>
      <protection locked="0"/>
    </xf>
    <xf numFmtId="37" fontId="1" fillId="14" borderId="13" xfId="5" applyNumberFormat="1" applyFont="1" applyFill="1" applyBorder="1" applyAlignment="1" applyProtection="1">
      <alignment horizontal="right"/>
    </xf>
    <xf numFmtId="37" fontId="1" fillId="14" borderId="13" xfId="5" applyNumberFormat="1" applyFont="1" applyFill="1" applyBorder="1" applyAlignment="1" applyProtection="1">
      <alignment horizontal="right"/>
      <protection locked="0"/>
    </xf>
    <xf numFmtId="37" fontId="54" fillId="14" borderId="13" xfId="5" applyNumberFormat="1" applyFont="1" applyFill="1" applyBorder="1" applyProtection="1">
      <protection locked="0"/>
    </xf>
    <xf numFmtId="5" fontId="75" fillId="14" borderId="14" xfId="10" applyNumberFormat="1" applyFont="1" applyFill="1" applyBorder="1" applyProtection="1">
      <protection locked="0"/>
    </xf>
    <xf numFmtId="37" fontId="75" fillId="16" borderId="9" xfId="10" applyNumberFormat="1" applyFont="1" applyFill="1" applyBorder="1" applyProtection="1"/>
    <xf numFmtId="0" fontId="2" fillId="13" borderId="0" xfId="10" applyFont="1" applyFill="1" applyAlignment="1" applyProtection="1">
      <protection locked="0"/>
    </xf>
    <xf numFmtId="0" fontId="28" fillId="13" borderId="0" xfId="10" applyFont="1" applyFill="1" applyProtection="1">
      <protection locked="0"/>
    </xf>
    <xf numFmtId="0" fontId="1" fillId="13" borderId="0" xfId="10" applyFont="1" applyFill="1" applyAlignment="1" applyProtection="1">
      <alignment horizontal="fill"/>
      <protection locked="0"/>
    </xf>
    <xf numFmtId="0" fontId="25" fillId="16" borderId="52" xfId="10" applyFont="1" applyFill="1" applyBorder="1" applyAlignment="1" applyProtection="1">
      <alignment horizontal="center"/>
      <protection locked="0"/>
    </xf>
    <xf numFmtId="0" fontId="28" fillId="16" borderId="49" xfId="10" applyFont="1" applyFill="1" applyBorder="1" applyProtection="1">
      <protection locked="0"/>
    </xf>
    <xf numFmtId="0" fontId="1" fillId="16" borderId="50" xfId="10" applyFont="1" applyFill="1" applyBorder="1" applyAlignment="1" applyProtection="1">
      <alignment horizontal="fill"/>
      <protection locked="0"/>
    </xf>
    <xf numFmtId="5" fontId="1" fillId="16" borderId="0" xfId="5" applyFont="1" applyFill="1" applyBorder="1" applyProtection="1">
      <protection locked="0"/>
    </xf>
    <xf numFmtId="5" fontId="1" fillId="18" borderId="0" xfId="5" applyFont="1" applyFill="1" applyBorder="1" applyProtection="1">
      <protection locked="0"/>
    </xf>
    <xf numFmtId="5" fontId="1" fillId="16" borderId="0" xfId="5" applyFont="1" applyFill="1" applyBorder="1" applyProtection="1"/>
    <xf numFmtId="5" fontId="1" fillId="14" borderId="13" xfId="5" applyFont="1" applyFill="1" applyBorder="1" applyProtection="1"/>
    <xf numFmtId="5" fontId="1" fillId="14" borderId="13" xfId="5" applyFont="1" applyFill="1" applyBorder="1" applyProtection="1">
      <protection locked="0"/>
    </xf>
    <xf numFmtId="5" fontId="1" fillId="16" borderId="0" xfId="10" applyNumberFormat="1" applyFont="1" applyFill="1" applyBorder="1" applyAlignment="1" applyProtection="1"/>
    <xf numFmtId="168" fontId="1" fillId="16" borderId="0" xfId="10" applyNumberFormat="1" applyFont="1" applyFill="1" applyBorder="1" applyProtection="1">
      <protection locked="0"/>
    </xf>
    <xf numFmtId="5" fontId="1" fillId="16" borderId="0" xfId="10" applyNumberFormat="1" applyFont="1" applyFill="1" applyBorder="1" applyAlignment="1" applyProtection="1">
      <protection locked="0"/>
    </xf>
    <xf numFmtId="169" fontId="1" fillId="16" borderId="0" xfId="10" applyNumberFormat="1" applyFont="1" applyFill="1" applyBorder="1" applyProtection="1"/>
    <xf numFmtId="169" fontId="1" fillId="16" borderId="0" xfId="10" applyNumberFormat="1" applyFont="1" applyFill="1" applyBorder="1" applyProtection="1">
      <protection locked="0"/>
    </xf>
    <xf numFmtId="0" fontId="1" fillId="16" borderId="52" xfId="10" applyFont="1" applyFill="1" applyBorder="1" applyAlignment="1" applyProtection="1">
      <alignment horizontal="fill"/>
      <protection locked="0"/>
    </xf>
    <xf numFmtId="0" fontId="28" fillId="16" borderId="52" xfId="10" applyFont="1" applyFill="1" applyBorder="1" applyAlignment="1" applyProtection="1">
      <alignment horizontal="center"/>
      <protection locked="0"/>
    </xf>
    <xf numFmtId="169" fontId="1" fillId="14" borderId="13" xfId="10" applyNumberFormat="1" applyFont="1" applyFill="1" applyBorder="1" applyProtection="1">
      <protection locked="0"/>
    </xf>
    <xf numFmtId="170" fontId="1" fillId="16" borderId="0" xfId="11" applyNumberFormat="1" applyFont="1" applyFill="1" applyBorder="1" applyProtection="1"/>
    <xf numFmtId="0" fontId="0" fillId="13" borderId="0" xfId="0" applyFill="1"/>
    <xf numFmtId="0" fontId="73" fillId="13" borderId="0" xfId="0" applyFont="1" applyFill="1"/>
    <xf numFmtId="0" fontId="79" fillId="16" borderId="0" xfId="0" applyFont="1" applyFill="1" applyBorder="1"/>
    <xf numFmtId="0" fontId="73" fillId="16" borderId="0" xfId="0" applyFont="1" applyFill="1" applyBorder="1"/>
    <xf numFmtId="0" fontId="74" fillId="16" borderId="0" xfId="10" applyFont="1" applyFill="1" applyBorder="1" applyAlignment="1" applyProtection="1">
      <alignment horizontal="left"/>
      <protection locked="0"/>
    </xf>
    <xf numFmtId="37" fontId="73" fillId="16" borderId="20" xfId="10" applyNumberFormat="1" applyFont="1" applyFill="1" applyBorder="1" applyProtection="1"/>
    <xf numFmtId="37" fontId="79" fillId="16" borderId="0" xfId="10" applyNumberFormat="1" applyFont="1" applyFill="1" applyBorder="1" applyAlignment="1" applyProtection="1">
      <alignment horizontal="center"/>
      <protection locked="0"/>
    </xf>
    <xf numFmtId="0" fontId="79" fillId="16" borderId="0" xfId="10" applyFont="1" applyFill="1" applyBorder="1" applyAlignment="1" applyProtection="1">
      <alignment horizontal="center" wrapText="1"/>
      <protection locked="0"/>
    </xf>
    <xf numFmtId="0" fontId="79" fillId="16" borderId="0" xfId="10" applyFont="1" applyFill="1" applyBorder="1" applyAlignment="1" applyProtection="1">
      <alignment horizontal="center"/>
      <protection locked="0"/>
    </xf>
    <xf numFmtId="37" fontId="79" fillId="16" borderId="0" xfId="10" applyNumberFormat="1" applyFont="1" applyFill="1" applyBorder="1" applyAlignment="1" applyProtection="1">
      <alignment horizontal="center" wrapText="1"/>
      <protection locked="0"/>
    </xf>
    <xf numFmtId="37" fontId="73" fillId="16" borderId="0" xfId="10" applyNumberFormat="1" applyFont="1" applyFill="1" applyBorder="1" applyAlignment="1" applyProtection="1">
      <alignment horizontal="left"/>
      <protection locked="0"/>
    </xf>
    <xf numFmtId="37" fontId="73" fillId="16" borderId="10" xfId="10" applyNumberFormat="1" applyFont="1" applyFill="1" applyBorder="1" applyAlignment="1" applyProtection="1">
      <alignment horizontal="right"/>
      <protection locked="0"/>
    </xf>
    <xf numFmtId="5" fontId="73" fillId="16" borderId="10" xfId="10" applyNumberFormat="1" applyFont="1" applyFill="1" applyBorder="1" applyAlignment="1" applyProtection="1">
      <alignment horizontal="right"/>
      <protection locked="0"/>
    </xf>
    <xf numFmtId="37" fontId="79" fillId="16" borderId="10" xfId="10" applyNumberFormat="1" applyFont="1" applyFill="1" applyBorder="1" applyAlignment="1" applyProtection="1">
      <alignment horizontal="right"/>
      <protection locked="0"/>
    </xf>
    <xf numFmtId="0" fontId="74" fillId="16" borderId="0" xfId="10" applyFont="1" applyFill="1" applyBorder="1" applyAlignment="1" applyProtection="1">
      <alignment horizontal="center"/>
    </xf>
    <xf numFmtId="164" fontId="75" fillId="16" borderId="0" xfId="10" applyNumberFormat="1" applyFont="1" applyFill="1" applyBorder="1" applyAlignment="1" applyProtection="1">
      <alignment horizontal="center"/>
      <protection locked="0"/>
    </xf>
    <xf numFmtId="0" fontId="79" fillId="16" borderId="0" xfId="7" applyFont="1" applyFill="1" applyBorder="1" applyAlignment="1" applyProtection="1">
      <alignment horizontal="left"/>
      <protection locked="0"/>
    </xf>
    <xf numFmtId="37" fontId="79" fillId="16" borderId="0" xfId="10" applyNumberFormat="1" applyFont="1" applyFill="1" applyBorder="1" applyAlignment="1" applyProtection="1">
      <alignment horizontal="right"/>
      <protection locked="0"/>
    </xf>
    <xf numFmtId="44" fontId="75" fillId="16" borderId="13" xfId="3" applyFont="1" applyFill="1" applyBorder="1" applyProtection="1"/>
    <xf numFmtId="0" fontId="73" fillId="16" borderId="49" xfId="0" applyFont="1" applyFill="1" applyBorder="1"/>
    <xf numFmtId="0" fontId="73" fillId="16" borderId="50" xfId="0" applyFont="1" applyFill="1" applyBorder="1"/>
    <xf numFmtId="0" fontId="73" fillId="16" borderId="51" xfId="0" applyFont="1" applyFill="1" applyBorder="1"/>
    <xf numFmtId="0" fontId="73" fillId="16" borderId="53" xfId="0" applyFont="1" applyFill="1" applyBorder="1"/>
    <xf numFmtId="0" fontId="73" fillId="16" borderId="52" xfId="0" applyFont="1" applyFill="1" applyBorder="1"/>
    <xf numFmtId="0" fontId="0" fillId="16" borderId="0" xfId="0" applyFill="1" applyBorder="1"/>
    <xf numFmtId="0" fontId="73" fillId="16" borderId="0" xfId="0" applyFont="1" applyFill="1" applyBorder="1" applyAlignment="1">
      <alignment wrapText="1"/>
    </xf>
    <xf numFmtId="0" fontId="79" fillId="16" borderId="0" xfId="0" applyFont="1" applyFill="1" applyBorder="1" applyAlignment="1">
      <alignment horizontal="left" wrapText="1"/>
    </xf>
    <xf numFmtId="0" fontId="79" fillId="16" borderId="0" xfId="0" applyFont="1" applyFill="1" applyBorder="1" applyAlignment="1">
      <alignment horizontal="right"/>
    </xf>
    <xf numFmtId="0" fontId="74" fillId="16" borderId="0" xfId="0" applyFont="1" applyFill="1" applyBorder="1"/>
    <xf numFmtId="37" fontId="73" fillId="14" borderId="13" xfId="10" applyNumberFormat="1" applyFont="1" applyFill="1" applyBorder="1" applyProtection="1">
      <protection locked="0"/>
    </xf>
    <xf numFmtId="37" fontId="73" fillId="16" borderId="13" xfId="10" applyNumberFormat="1" applyFont="1" applyFill="1" applyBorder="1" applyProtection="1"/>
    <xf numFmtId="37" fontId="73" fillId="14" borderId="12" xfId="10" applyNumberFormat="1" applyFont="1" applyFill="1" applyBorder="1" applyProtection="1">
      <protection locked="0"/>
    </xf>
    <xf numFmtId="37" fontId="73" fillId="16" borderId="12" xfId="10" applyNumberFormat="1" applyFont="1" applyFill="1" applyBorder="1" applyProtection="1"/>
    <xf numFmtId="0" fontId="0" fillId="16" borderId="53" xfId="0" applyFill="1" applyBorder="1"/>
    <xf numFmtId="0" fontId="0" fillId="16" borderId="52" xfId="0" applyFill="1" applyBorder="1"/>
    <xf numFmtId="37" fontId="75" fillId="16" borderId="15" xfId="10" applyNumberFormat="1" applyFont="1" applyFill="1" applyBorder="1" applyProtection="1"/>
    <xf numFmtId="0" fontId="0" fillId="16" borderId="54" xfId="0" applyFill="1" applyBorder="1"/>
    <xf numFmtId="0" fontId="0" fillId="16" borderId="55" xfId="0" applyFill="1" applyBorder="1"/>
    <xf numFmtId="0" fontId="0" fillId="16" borderId="56" xfId="0" applyFill="1" applyBorder="1"/>
    <xf numFmtId="0" fontId="79" fillId="17" borderId="0" xfId="7" applyFont="1" applyFill="1" applyBorder="1" applyAlignment="1" applyProtection="1">
      <alignment horizontal="left"/>
      <protection locked="0"/>
    </xf>
    <xf numFmtId="0" fontId="74" fillId="17" borderId="22" xfId="10" applyFont="1" applyFill="1" applyBorder="1" applyAlignment="1" applyProtection="1">
      <alignment horizontal="center"/>
    </xf>
    <xf numFmtId="37" fontId="79" fillId="17" borderId="0" xfId="10" applyNumberFormat="1" applyFont="1" applyFill="1" applyBorder="1" applyAlignment="1" applyProtection="1">
      <alignment horizontal="right"/>
      <protection locked="0"/>
    </xf>
    <xf numFmtId="0" fontId="74" fillId="17" borderId="0" xfId="10" applyFont="1" applyFill="1" applyBorder="1" applyAlignment="1" applyProtection="1">
      <alignment horizontal="center"/>
    </xf>
    <xf numFmtId="164" fontId="75" fillId="17" borderId="0" xfId="10" applyNumberFormat="1" applyFont="1" applyFill="1" applyBorder="1" applyAlignment="1" applyProtection="1">
      <alignment horizontal="center"/>
      <protection locked="0"/>
    </xf>
    <xf numFmtId="0" fontId="79" fillId="17" borderId="0" xfId="0" applyFont="1" applyFill="1" applyBorder="1"/>
    <xf numFmtId="0" fontId="73" fillId="17" borderId="0" xfId="0" applyFont="1" applyFill="1" applyBorder="1"/>
    <xf numFmtId="0" fontId="0" fillId="17" borderId="0" xfId="0" applyFill="1" applyBorder="1"/>
    <xf numFmtId="0" fontId="79" fillId="17" borderId="0" xfId="0" applyFont="1" applyFill="1" applyBorder="1" applyAlignment="1">
      <alignment horizontal="left" wrapText="1"/>
    </xf>
    <xf numFmtId="0" fontId="79" fillId="17" borderId="0" xfId="0" applyFont="1" applyFill="1" applyBorder="1" applyAlignment="1">
      <alignment wrapText="1"/>
    </xf>
    <xf numFmtId="0" fontId="79" fillId="17" borderId="0" xfId="0" applyFont="1" applyFill="1" applyBorder="1" applyAlignment="1">
      <alignment horizontal="right"/>
    </xf>
    <xf numFmtId="166" fontId="73" fillId="17" borderId="0" xfId="0" applyNumberFormat="1" applyFont="1" applyFill="1" applyBorder="1"/>
    <xf numFmtId="37" fontId="79" fillId="17" borderId="0" xfId="10" applyNumberFormat="1" applyFont="1" applyFill="1" applyBorder="1" applyAlignment="1" applyProtection="1">
      <alignment horizontal="center"/>
      <protection locked="0"/>
    </xf>
    <xf numFmtId="0" fontId="79" fillId="17" borderId="0" xfId="10" applyFont="1" applyFill="1" applyBorder="1" applyAlignment="1" applyProtection="1">
      <alignment horizontal="center" wrapText="1"/>
      <protection locked="0"/>
    </xf>
    <xf numFmtId="0" fontId="79" fillId="17" borderId="0" xfId="10" applyFont="1" applyFill="1" applyBorder="1" applyAlignment="1" applyProtection="1">
      <alignment horizontal="center"/>
      <protection locked="0"/>
    </xf>
    <xf numFmtId="37" fontId="79" fillId="17" borderId="0" xfId="10" applyNumberFormat="1" applyFont="1" applyFill="1" applyBorder="1" applyAlignment="1" applyProtection="1">
      <alignment horizontal="center" wrapText="1"/>
      <protection locked="0"/>
    </xf>
    <xf numFmtId="37" fontId="73" fillId="17" borderId="0" xfId="10" applyNumberFormat="1" applyFont="1" applyFill="1" applyBorder="1" applyAlignment="1" applyProtection="1">
      <alignment horizontal="left"/>
      <protection locked="0"/>
    </xf>
    <xf numFmtId="37" fontId="73" fillId="17" borderId="10" xfId="10" applyNumberFormat="1" applyFont="1" applyFill="1" applyBorder="1" applyAlignment="1" applyProtection="1">
      <alignment horizontal="right"/>
      <protection locked="0"/>
    </xf>
    <xf numFmtId="5" fontId="73" fillId="17" borderId="10" xfId="10" applyNumberFormat="1" applyFont="1" applyFill="1" applyBorder="1" applyAlignment="1" applyProtection="1">
      <alignment horizontal="right"/>
      <protection locked="0"/>
    </xf>
    <xf numFmtId="37" fontId="79" fillId="17" borderId="10" xfId="10" applyNumberFormat="1" applyFont="1" applyFill="1" applyBorder="1" applyAlignment="1" applyProtection="1">
      <alignment horizontal="right"/>
      <protection locked="0"/>
    </xf>
    <xf numFmtId="0" fontId="74" fillId="17" borderId="0" xfId="0" applyFont="1" applyFill="1" applyBorder="1"/>
    <xf numFmtId="37" fontId="73" fillId="17" borderId="13" xfId="10" applyNumberFormat="1" applyFont="1" applyFill="1" applyBorder="1" applyProtection="1"/>
    <xf numFmtId="37" fontId="73" fillId="17" borderId="12" xfId="10" applyNumberFormat="1" applyFont="1" applyFill="1" applyBorder="1" applyProtection="1"/>
    <xf numFmtId="37" fontId="75" fillId="17" borderId="15" xfId="10" applyNumberFormat="1" applyFont="1" applyFill="1" applyBorder="1" applyProtection="1"/>
    <xf numFmtId="0" fontId="74" fillId="17" borderId="0" xfId="10" applyFont="1" applyFill="1" applyBorder="1" applyAlignment="1" applyProtection="1">
      <alignment horizontal="left"/>
      <protection locked="0"/>
    </xf>
    <xf numFmtId="37" fontId="73" fillId="17" borderId="20" xfId="10" applyNumberFormat="1" applyFont="1" applyFill="1" applyBorder="1" applyProtection="1"/>
    <xf numFmtId="0" fontId="73" fillId="17" borderId="57" xfId="0" applyFont="1" applyFill="1" applyBorder="1"/>
    <xf numFmtId="0" fontId="73" fillId="17" borderId="58" xfId="0" applyFont="1" applyFill="1" applyBorder="1"/>
    <xf numFmtId="0" fontId="73" fillId="17" borderId="59" xfId="0" applyFont="1" applyFill="1" applyBorder="1"/>
    <xf numFmtId="0" fontId="73" fillId="17" borderId="61" xfId="0" applyFont="1" applyFill="1" applyBorder="1"/>
    <xf numFmtId="0" fontId="73" fillId="17" borderId="60" xfId="0" applyFont="1" applyFill="1" applyBorder="1"/>
    <xf numFmtId="0" fontId="0" fillId="17" borderId="61" xfId="0" applyFill="1" applyBorder="1"/>
    <xf numFmtId="0" fontId="0" fillId="17" borderId="60" xfId="0" applyFill="1" applyBorder="1"/>
    <xf numFmtId="0" fontId="0" fillId="17" borderId="62" xfId="0" applyFill="1" applyBorder="1"/>
    <xf numFmtId="0" fontId="0" fillId="17" borderId="63" xfId="0" applyFill="1" applyBorder="1"/>
    <xf numFmtId="0" fontId="0" fillId="17" borderId="64" xfId="0" applyFill="1" applyBorder="1"/>
    <xf numFmtId="0" fontId="80" fillId="13" borderId="0" xfId="0" applyFont="1" applyFill="1" applyAlignment="1">
      <alignment horizontal="center"/>
    </xf>
    <xf numFmtId="6" fontId="1" fillId="16" borderId="10" xfId="7" applyNumberFormat="1" applyFont="1" applyFill="1" applyBorder="1" applyProtection="1">
      <protection locked="0"/>
    </xf>
    <xf numFmtId="0" fontId="75" fillId="16" borderId="0" xfId="7" applyFont="1" applyFill="1" applyBorder="1" applyAlignment="1" applyProtection="1">
      <alignment wrapText="1"/>
      <protection locked="0"/>
    </xf>
    <xf numFmtId="0" fontId="1" fillId="0" borderId="0" xfId="7" applyFont="1" applyAlignment="1">
      <alignment horizontal="left" wrapText="1" indent="3"/>
    </xf>
    <xf numFmtId="0" fontId="1" fillId="0" borderId="0" xfId="7" applyFont="1" applyAlignment="1">
      <alignment wrapText="1"/>
    </xf>
    <xf numFmtId="0" fontId="3" fillId="0" borderId="0" xfId="7" applyFont="1" applyAlignment="1">
      <alignment wrapText="1"/>
    </xf>
    <xf numFmtId="0" fontId="3" fillId="0" borderId="0" xfId="7" applyFont="1" applyAlignment="1">
      <alignment horizontal="center" vertical="center"/>
    </xf>
    <xf numFmtId="0" fontId="3" fillId="0" borderId="0" xfId="7" applyFont="1" applyAlignment="1">
      <alignment horizontal="center" vertical="top"/>
    </xf>
    <xf numFmtId="0" fontId="1" fillId="9" borderId="0" xfId="7" applyFont="1" applyFill="1" applyProtection="1">
      <protection hidden="1"/>
    </xf>
    <xf numFmtId="0" fontId="1" fillId="2" borderId="77" xfId="7" applyFont="1" applyFill="1" applyBorder="1"/>
    <xf numFmtId="0" fontId="1" fillId="9" borderId="0" xfId="7" applyFont="1" applyFill="1" applyAlignment="1" applyProtection="1">
      <alignment horizontal="left" indent="1"/>
      <protection hidden="1"/>
    </xf>
    <xf numFmtId="5" fontId="1" fillId="14" borderId="13" xfId="5" applyFont="1" applyFill="1" applyBorder="1" applyAlignment="1" applyProtection="1">
      <alignment horizontal="right"/>
      <protection locked="0"/>
    </xf>
    <xf numFmtId="0" fontId="81" fillId="9" borderId="0" xfId="7" applyFont="1" applyFill="1"/>
    <xf numFmtId="0" fontId="1" fillId="0" borderId="0" xfId="10" applyFont="1" applyAlignment="1" applyProtection="1">
      <alignment horizontal="center"/>
      <protection locked="0"/>
    </xf>
    <xf numFmtId="0" fontId="82" fillId="0" borderId="0" xfId="7" applyFont="1" applyProtection="1">
      <protection locked="0"/>
    </xf>
    <xf numFmtId="0" fontId="79" fillId="16" borderId="0" xfId="0" applyFont="1" applyFill="1" applyBorder="1" applyAlignment="1">
      <alignment horizontal="center" wrapText="1"/>
    </xf>
    <xf numFmtId="0" fontId="1" fillId="16" borderId="0" xfId="7" applyFont="1" applyFill="1" applyBorder="1" applyAlignment="1"/>
    <xf numFmtId="0" fontId="75" fillId="16" borderId="0" xfId="7" applyFont="1" applyFill="1" applyBorder="1" applyAlignment="1" applyProtection="1">
      <alignment horizontal="left" vertical="top"/>
    </xf>
    <xf numFmtId="166" fontId="75" fillId="16" borderId="0" xfId="7" applyNumberFormat="1" applyFont="1" applyFill="1" applyBorder="1" applyAlignment="1" applyProtection="1">
      <alignment vertical="top" wrapText="1"/>
      <protection locked="0"/>
    </xf>
    <xf numFmtId="0" fontId="2" fillId="16" borderId="52" xfId="7" applyFont="1" applyFill="1" applyBorder="1" applyAlignment="1" applyProtection="1">
      <protection locked="0"/>
    </xf>
    <xf numFmtId="0" fontId="2" fillId="16" borderId="0" xfId="7" applyFont="1" applyFill="1" applyBorder="1" applyAlignment="1" applyProtection="1">
      <protection locked="0"/>
    </xf>
    <xf numFmtId="0" fontId="3" fillId="13" borderId="0" xfId="7" applyFont="1" applyFill="1" applyAlignment="1" applyProtection="1">
      <alignment horizontal="center"/>
    </xf>
    <xf numFmtId="0" fontId="3" fillId="16" borderId="0" xfId="7" applyFont="1" applyFill="1" applyBorder="1" applyAlignment="1" applyProtection="1">
      <alignment horizontal="center"/>
      <protection locked="0"/>
    </xf>
    <xf numFmtId="5" fontId="3" fillId="13" borderId="0" xfId="10" applyNumberFormat="1" applyFont="1" applyFill="1" applyBorder="1" applyAlignment="1" applyProtection="1">
      <alignment horizontal="center"/>
    </xf>
    <xf numFmtId="0" fontId="75" fillId="16" borderId="0" xfId="7" applyFont="1" applyFill="1" applyBorder="1" applyAlignment="1" applyProtection="1">
      <alignment horizontal="left" wrapText="1"/>
      <protection locked="0"/>
    </xf>
    <xf numFmtId="0" fontId="75" fillId="16" borderId="0" xfId="7" applyFont="1" applyFill="1" applyBorder="1" applyAlignment="1" applyProtection="1">
      <alignment wrapText="1"/>
      <protection locked="0"/>
    </xf>
    <xf numFmtId="0" fontId="2" fillId="13" borderId="0" xfId="10" applyFont="1" applyFill="1" applyProtection="1"/>
    <xf numFmtId="0" fontId="2" fillId="13" borderId="0" xfId="10" applyFont="1" applyFill="1" applyAlignment="1" applyProtection="1">
      <alignment horizontal="centerContinuous"/>
    </xf>
    <xf numFmtId="172" fontId="3" fillId="13" borderId="0" xfId="7" applyNumberFormat="1" applyFont="1" applyFill="1" applyAlignment="1" applyProtection="1">
      <alignment horizontal="center"/>
    </xf>
    <xf numFmtId="10" fontId="3" fillId="13" borderId="0" xfId="7" applyNumberFormat="1" applyFont="1" applyFill="1" applyAlignment="1" applyProtection="1">
      <alignment horizontal="center"/>
    </xf>
    <xf numFmtId="0" fontId="14" fillId="13" borderId="0" xfId="10" applyFont="1" applyFill="1" applyAlignment="1" applyProtection="1"/>
    <xf numFmtId="0" fontId="14" fillId="13" borderId="0" xfId="10" applyFont="1" applyFill="1" applyBorder="1" applyAlignment="1" applyProtection="1">
      <alignment horizontal="centerContinuous"/>
    </xf>
    <xf numFmtId="0" fontId="2" fillId="13" borderId="0" xfId="7" applyFont="1" applyFill="1" applyBorder="1" applyAlignment="1" applyProtection="1">
      <alignment vertical="justify"/>
      <protection locked="0"/>
    </xf>
    <xf numFmtId="10" fontId="2" fillId="13" borderId="0" xfId="7" applyNumberFormat="1" applyFont="1" applyFill="1" applyProtection="1">
      <protection locked="0"/>
    </xf>
    <xf numFmtId="172" fontId="2" fillId="13" borderId="0" xfId="7" applyNumberFormat="1" applyFont="1" applyFill="1" applyProtection="1">
      <protection locked="0"/>
    </xf>
    <xf numFmtId="0" fontId="3" fillId="13" borderId="0" xfId="7" applyFont="1" applyFill="1" applyBorder="1" applyProtection="1">
      <protection locked="0"/>
    </xf>
    <xf numFmtId="0" fontId="2" fillId="16" borderId="37" xfId="7" applyFont="1" applyFill="1" applyBorder="1" applyProtection="1">
      <protection locked="0"/>
    </xf>
    <xf numFmtId="172" fontId="2" fillId="16" borderId="37" xfId="7" applyNumberFormat="1" applyFont="1" applyFill="1" applyBorder="1" applyProtection="1">
      <protection locked="0"/>
    </xf>
    <xf numFmtId="3" fontId="2" fillId="16" borderId="15" xfId="7" applyNumberFormat="1" applyFont="1" applyFill="1" applyBorder="1" applyProtection="1"/>
    <xf numFmtId="172" fontId="2" fillId="16" borderId="15" xfId="7" applyNumberFormat="1" applyFont="1" applyFill="1" applyBorder="1" applyProtection="1"/>
    <xf numFmtId="5" fontId="14" fillId="16" borderId="0" xfId="4" applyNumberFormat="1" applyFont="1" applyFill="1" applyBorder="1" applyProtection="1">
      <protection locked="0"/>
    </xf>
    <xf numFmtId="5" fontId="32" fillId="16" borderId="0" xfId="5" applyFont="1" applyFill="1" applyBorder="1" applyAlignment="1" applyProtection="1">
      <alignment horizontal="right"/>
      <protection locked="0"/>
    </xf>
    <xf numFmtId="5" fontId="2" fillId="16" borderId="0" xfId="5" applyFont="1" applyFill="1" applyBorder="1" applyAlignment="1" applyProtection="1">
      <alignment horizontal="right"/>
      <protection locked="0"/>
    </xf>
    <xf numFmtId="5" fontId="14" fillId="16" borderId="0" xfId="5" applyFont="1" applyFill="1" applyBorder="1" applyProtection="1">
      <protection locked="0"/>
    </xf>
    <xf numFmtId="37" fontId="2" fillId="16" borderId="0" xfId="4" applyNumberFormat="1" applyFont="1" applyFill="1" applyBorder="1" applyProtection="1">
      <protection locked="0"/>
    </xf>
    <xf numFmtId="0" fontId="2" fillId="16" borderId="38" xfId="7" applyFont="1" applyFill="1" applyBorder="1" applyProtection="1">
      <protection locked="0"/>
    </xf>
    <xf numFmtId="0" fontId="2" fillId="16" borderId="39" xfId="7" applyFont="1" applyFill="1" applyBorder="1" applyAlignment="1" applyProtection="1">
      <alignment horizontal="center"/>
      <protection locked="0"/>
    </xf>
    <xf numFmtId="172" fontId="2" fillId="16" borderId="39" xfId="7" applyNumberFormat="1" applyFont="1" applyFill="1" applyBorder="1" applyProtection="1">
      <protection locked="0"/>
    </xf>
    <xf numFmtId="0" fontId="2" fillId="16" borderId="40" xfId="7" applyFont="1" applyFill="1" applyBorder="1" applyProtection="1">
      <protection locked="0"/>
    </xf>
    <xf numFmtId="10" fontId="2" fillId="16" borderId="41" xfId="7" applyNumberFormat="1" applyFont="1" applyFill="1" applyBorder="1" applyProtection="1">
      <protection locked="0"/>
    </xf>
    <xf numFmtId="10" fontId="2" fillId="16" borderId="42" xfId="7" applyNumberFormat="1" applyFont="1" applyFill="1" applyBorder="1" applyProtection="1">
      <protection locked="0"/>
    </xf>
    <xf numFmtId="0" fontId="2" fillId="16" borderId="43" xfId="7" applyFont="1" applyFill="1" applyBorder="1" applyProtection="1">
      <protection locked="0"/>
    </xf>
    <xf numFmtId="0" fontId="2" fillId="16" borderId="44" xfId="7" applyFont="1" applyFill="1" applyBorder="1" applyProtection="1">
      <protection locked="0"/>
    </xf>
    <xf numFmtId="10" fontId="2" fillId="16" borderId="45" xfId="7" applyNumberFormat="1" applyFont="1" applyFill="1" applyBorder="1" applyProtection="1">
      <protection locked="0"/>
    </xf>
    <xf numFmtId="172" fontId="2" fillId="16" borderId="0" xfId="7" applyNumberFormat="1" applyFont="1" applyFill="1" applyBorder="1" applyProtection="1">
      <protection locked="0"/>
    </xf>
    <xf numFmtId="10" fontId="2" fillId="16" borderId="0" xfId="7" applyNumberFormat="1" applyFont="1" applyFill="1" applyBorder="1" applyProtection="1">
      <protection locked="0"/>
    </xf>
    <xf numFmtId="5" fontId="1" fillId="16" borderId="29" xfId="4" applyNumberFormat="1" applyFont="1" applyFill="1" applyBorder="1" applyProtection="1"/>
    <xf numFmtId="10" fontId="1" fillId="14" borderId="13" xfId="7" applyNumberFormat="1" applyFont="1" applyFill="1" applyBorder="1" applyProtection="1">
      <protection locked="0"/>
    </xf>
    <xf numFmtId="165" fontId="1" fillId="14" borderId="13" xfId="4" applyNumberFormat="1" applyFont="1" applyFill="1" applyBorder="1" applyAlignment="1" applyProtection="1">
      <alignment horizontal="right"/>
    </xf>
    <xf numFmtId="3" fontId="1" fillId="14" borderId="13" xfId="7" applyNumberFormat="1" applyFont="1" applyFill="1" applyBorder="1" applyAlignment="1" applyProtection="1">
      <alignment horizontal="right"/>
    </xf>
    <xf numFmtId="5" fontId="1" fillId="16" borderId="0" xfId="4" applyNumberFormat="1" applyFont="1" applyFill="1" applyBorder="1" applyProtection="1"/>
    <xf numFmtId="174" fontId="1" fillId="16" borderId="0" xfId="7" applyNumberFormat="1" applyFont="1" applyFill="1" applyBorder="1" applyProtection="1"/>
    <xf numFmtId="174" fontId="1" fillId="16" borderId="10" xfId="7" applyNumberFormat="1" applyFont="1" applyFill="1" applyBorder="1" applyProtection="1"/>
    <xf numFmtId="38" fontId="1" fillId="14" borderId="13" xfId="7" applyNumberFormat="1" applyFont="1" applyFill="1" applyBorder="1" applyProtection="1">
      <protection locked="0"/>
    </xf>
    <xf numFmtId="5" fontId="1" fillId="16" borderId="0" xfId="4" applyNumberFormat="1" applyFont="1" applyFill="1" applyBorder="1" applyProtection="1">
      <protection locked="0"/>
    </xf>
    <xf numFmtId="37" fontId="1" fillId="16" borderId="10" xfId="4" applyNumberFormat="1" applyFont="1" applyFill="1" applyBorder="1" applyProtection="1"/>
    <xf numFmtId="173" fontId="1" fillId="16" borderId="0" xfId="4" applyNumberFormat="1" applyFont="1" applyFill="1" applyBorder="1" applyProtection="1">
      <protection locked="0"/>
    </xf>
    <xf numFmtId="165" fontId="1" fillId="16" borderId="10" xfId="4" applyNumberFormat="1" applyFont="1" applyFill="1" applyBorder="1" applyProtection="1"/>
    <xf numFmtId="165" fontId="1" fillId="16" borderId="0" xfId="4" applyNumberFormat="1" applyFont="1" applyFill="1" applyBorder="1" applyProtection="1">
      <protection locked="0"/>
    </xf>
    <xf numFmtId="37" fontId="1" fillId="16" borderId="10" xfId="4" applyNumberFormat="1" applyFont="1" applyFill="1" applyBorder="1" applyProtection="1">
      <protection locked="0"/>
    </xf>
    <xf numFmtId="172" fontId="1" fillId="16" borderId="39" xfId="7" applyNumberFormat="1" applyFont="1" applyFill="1" applyBorder="1" applyProtection="1">
      <protection locked="0"/>
    </xf>
    <xf numFmtId="38" fontId="1" fillId="14" borderId="13" xfId="2" applyNumberFormat="1" applyFont="1" applyFill="1" applyBorder="1" applyAlignment="1" applyProtection="1">
      <alignment horizontal="right"/>
      <protection locked="0"/>
    </xf>
    <xf numFmtId="172" fontId="1" fillId="13" borderId="0" xfId="10" applyNumberFormat="1" applyFont="1" applyFill="1" applyProtection="1"/>
    <xf numFmtId="10" fontId="1" fillId="13" borderId="0" xfId="10" applyNumberFormat="1" applyFont="1" applyFill="1" applyProtection="1"/>
    <xf numFmtId="0" fontId="14" fillId="16" borderId="0" xfId="7" applyFont="1" applyFill="1" applyBorder="1" applyAlignment="1" applyProtection="1">
      <alignment horizontal="center"/>
      <protection locked="0"/>
    </xf>
    <xf numFmtId="10" fontId="14" fillId="16" borderId="0" xfId="7" applyNumberFormat="1" applyFont="1" applyFill="1" applyBorder="1" applyAlignment="1" applyProtection="1">
      <alignment horizontal="center"/>
      <protection locked="0"/>
    </xf>
    <xf numFmtId="0" fontId="1" fillId="14" borderId="13" xfId="7" applyFont="1" applyFill="1" applyBorder="1" applyAlignment="1" applyProtection="1">
      <alignment horizontal="center"/>
      <protection locked="0"/>
    </xf>
    <xf numFmtId="0" fontId="2" fillId="14" borderId="13" xfId="7" applyFont="1" applyFill="1" applyBorder="1" applyAlignment="1" applyProtection="1">
      <alignment horizontal="center"/>
      <protection locked="0"/>
    </xf>
    <xf numFmtId="0" fontId="2" fillId="16" borderId="49" xfId="7" applyFont="1" applyFill="1" applyBorder="1" applyAlignment="1" applyProtection="1">
      <protection locked="0"/>
    </xf>
    <xf numFmtId="172" fontId="2" fillId="16" borderId="50" xfId="7" applyNumberFormat="1" applyFont="1" applyFill="1" applyBorder="1" applyProtection="1">
      <protection locked="0"/>
    </xf>
    <xf numFmtId="0" fontId="14" fillId="16" borderId="50" xfId="7" applyFont="1" applyFill="1" applyBorder="1" applyAlignment="1" applyProtection="1">
      <alignment horizontal="center"/>
      <protection locked="0"/>
    </xf>
    <xf numFmtId="10" fontId="14" fillId="16" borderId="50" xfId="7" applyNumberFormat="1" applyFont="1" applyFill="1" applyBorder="1" applyAlignment="1" applyProtection="1">
      <alignment horizontal="center"/>
      <protection locked="0"/>
    </xf>
    <xf numFmtId="0" fontId="2" fillId="16" borderId="51" xfId="7" applyFont="1" applyFill="1" applyBorder="1" applyAlignment="1" applyProtection="1">
      <alignment vertical="justify"/>
      <protection locked="0"/>
    </xf>
    <xf numFmtId="0" fontId="28" fillId="16" borderId="0" xfId="7" applyFont="1" applyFill="1" applyBorder="1" applyAlignment="1" applyProtection="1">
      <alignment horizontal="left"/>
      <protection locked="0"/>
    </xf>
    <xf numFmtId="0" fontId="2" fillId="16" borderId="53" xfId="7" applyFont="1" applyFill="1" applyBorder="1" applyAlignment="1" applyProtection="1">
      <alignment vertical="justify"/>
      <protection locked="0"/>
    </xf>
    <xf numFmtId="0" fontId="25" fillId="16" borderId="0" xfId="7" applyFont="1" applyFill="1" applyBorder="1" applyAlignment="1" applyProtection="1">
      <alignment horizontal="left"/>
      <protection locked="0"/>
    </xf>
    <xf numFmtId="172" fontId="3" fillId="16" borderId="0" xfId="7" applyNumberFormat="1" applyFont="1" applyFill="1" applyBorder="1" applyAlignment="1" applyProtection="1">
      <alignment horizontal="right"/>
      <protection locked="0"/>
    </xf>
    <xf numFmtId="10" fontId="1" fillId="16" borderId="0" xfId="7" applyNumberFormat="1" applyFont="1" applyFill="1" applyBorder="1" applyAlignment="1" applyProtection="1">
      <alignment horizontal="center"/>
      <protection locked="0"/>
    </xf>
    <xf numFmtId="0" fontId="28" fillId="16" borderId="0" xfId="7" applyFont="1" applyFill="1" applyBorder="1" applyAlignment="1" applyProtection="1">
      <alignment horizontal="center"/>
      <protection locked="0"/>
    </xf>
    <xf numFmtId="172" fontId="28" fillId="16" borderId="0" xfId="7" applyNumberFormat="1" applyFont="1" applyFill="1" applyBorder="1" applyAlignment="1" applyProtection="1">
      <alignment horizontal="right"/>
      <protection locked="0"/>
    </xf>
    <xf numFmtId="10" fontId="28" fillId="16" borderId="0" xfId="7" applyNumberFormat="1" applyFont="1" applyFill="1" applyBorder="1" applyAlignment="1" applyProtection="1">
      <alignment horizontal="center"/>
      <protection locked="0"/>
    </xf>
    <xf numFmtId="0" fontId="28" fillId="16" borderId="0" xfId="7" applyFont="1" applyFill="1" applyBorder="1" applyAlignment="1" applyProtection="1">
      <alignment horizontal="right"/>
      <protection locked="0"/>
    </xf>
    <xf numFmtId="172" fontId="25" fillId="16" borderId="0" xfId="7" applyNumberFormat="1" applyFont="1" applyFill="1" applyBorder="1" applyAlignment="1" applyProtection="1">
      <alignment horizontal="center"/>
      <protection locked="0"/>
    </xf>
    <xf numFmtId="10" fontId="25" fillId="16" borderId="0" xfId="7" applyNumberFormat="1" applyFont="1" applyFill="1" applyBorder="1" applyAlignment="1" applyProtection="1">
      <alignment horizontal="center"/>
      <protection locked="0"/>
    </xf>
    <xf numFmtId="0" fontId="25" fillId="16" borderId="0" xfId="7" applyFont="1" applyFill="1" applyBorder="1" applyProtection="1">
      <protection locked="0"/>
    </xf>
    <xf numFmtId="10" fontId="1" fillId="16" borderId="0" xfId="7" applyNumberFormat="1" applyFont="1" applyFill="1" applyBorder="1" applyProtection="1">
      <protection locked="0"/>
    </xf>
    <xf numFmtId="3" fontId="1" fillId="16" borderId="0" xfId="7" applyNumberFormat="1" applyFont="1" applyFill="1" applyBorder="1" applyAlignment="1" applyProtection="1">
      <alignment horizontal="right"/>
      <protection locked="0"/>
    </xf>
    <xf numFmtId="3" fontId="14" fillId="16" borderId="0" xfId="7" applyNumberFormat="1" applyFont="1" applyFill="1" applyBorder="1" applyAlignment="1" applyProtection="1">
      <alignment horizontal="right"/>
      <protection locked="0"/>
    </xf>
    <xf numFmtId="10" fontId="14" fillId="16" borderId="0" xfId="7" applyNumberFormat="1" applyFont="1" applyFill="1" applyBorder="1" applyAlignment="1" applyProtection="1">
      <alignment horizontal="right"/>
      <protection locked="0"/>
    </xf>
    <xf numFmtId="0" fontId="3" fillId="16" borderId="0" xfId="7" applyFont="1" applyFill="1" applyBorder="1" applyAlignment="1" applyProtection="1">
      <protection locked="0"/>
    </xf>
    <xf numFmtId="0" fontId="3" fillId="16" borderId="0" xfId="7" applyFont="1" applyFill="1" applyBorder="1" applyAlignment="1" applyProtection="1">
      <alignment horizontal="right"/>
      <protection locked="0"/>
    </xf>
    <xf numFmtId="172" fontId="1" fillId="16" borderId="0" xfId="7" applyNumberFormat="1" applyFont="1" applyFill="1" applyBorder="1" applyProtection="1">
      <protection locked="0"/>
    </xf>
    <xf numFmtId="0" fontId="1" fillId="16" borderId="0" xfId="7" applyFont="1" applyFill="1" applyBorder="1" applyAlignment="1" applyProtection="1">
      <alignment horizontal="left" wrapText="1"/>
      <protection locked="0"/>
    </xf>
    <xf numFmtId="0" fontId="1" fillId="16" borderId="0" xfId="7" applyFont="1" applyFill="1" applyBorder="1" applyAlignment="1" applyProtection="1">
      <alignment vertical="top"/>
      <protection locked="0"/>
    </xf>
    <xf numFmtId="0" fontId="1" fillId="16" borderId="0" xfId="10" applyFont="1" applyFill="1" applyBorder="1" applyAlignment="1" applyProtection="1">
      <alignment vertical="top"/>
      <protection locked="0"/>
    </xf>
    <xf numFmtId="0" fontId="2" fillId="16" borderId="53" xfId="7" applyFont="1" applyFill="1" applyBorder="1" applyAlignment="1" applyProtection="1">
      <protection locked="0"/>
    </xf>
    <xf numFmtId="0" fontId="3" fillId="16" borderId="54" xfId="7" applyFont="1" applyFill="1" applyBorder="1" applyProtection="1">
      <protection locked="0"/>
    </xf>
    <xf numFmtId="172" fontId="2" fillId="16" borderId="55" xfId="7" applyNumberFormat="1" applyFont="1" applyFill="1" applyBorder="1" applyProtection="1">
      <protection locked="0"/>
    </xf>
    <xf numFmtId="10" fontId="2" fillId="16" borderId="55" xfId="7" applyNumberFormat="1" applyFont="1" applyFill="1" applyBorder="1" applyProtection="1">
      <protection locked="0"/>
    </xf>
    <xf numFmtId="0" fontId="83" fillId="13" borderId="0" xfId="7" applyFont="1" applyFill="1" applyAlignment="1" applyProtection="1">
      <alignment horizontal="center"/>
      <protection locked="0"/>
    </xf>
    <xf numFmtId="38" fontId="2" fillId="13" borderId="0" xfId="10" applyNumberFormat="1" applyFont="1" applyFill="1" applyProtection="1">
      <protection locked="0"/>
    </xf>
    <xf numFmtId="0" fontId="29" fillId="13" borderId="0" xfId="10" applyFont="1" applyFill="1" applyBorder="1" applyProtection="1">
      <protection locked="0" hidden="1"/>
    </xf>
    <xf numFmtId="0" fontId="1" fillId="13" borderId="0" xfId="10" applyFont="1" applyFill="1" applyBorder="1" applyAlignment="1" applyProtection="1">
      <protection locked="0"/>
    </xf>
    <xf numFmtId="6" fontId="2" fillId="14" borderId="13" xfId="10" applyNumberFormat="1" applyFont="1" applyFill="1" applyBorder="1" applyAlignment="1" applyProtection="1">
      <alignment horizontal="right"/>
      <protection locked="0"/>
    </xf>
    <xf numFmtId="0" fontId="28" fillId="16" borderId="0" xfId="10" applyFont="1" applyFill="1" applyBorder="1" applyAlignment="1" applyProtection="1">
      <alignment horizontal="centerContinuous"/>
      <protection locked="0"/>
    </xf>
    <xf numFmtId="6" fontId="1" fillId="16" borderId="10" xfId="10" applyNumberFormat="1" applyFont="1" applyFill="1" applyBorder="1" applyAlignment="1" applyProtection="1">
      <alignment horizontal="right"/>
    </xf>
    <xf numFmtId="6" fontId="1" fillId="16" borderId="10" xfId="5" applyNumberFormat="1" applyFont="1" applyFill="1" applyBorder="1" applyAlignment="1" applyProtection="1">
      <alignment horizontal="right"/>
    </xf>
    <xf numFmtId="6" fontId="1" fillId="16" borderId="0" xfId="5" applyNumberFormat="1" applyFont="1" applyFill="1" applyBorder="1" applyAlignment="1" applyProtection="1">
      <alignment horizontal="right"/>
    </xf>
    <xf numFmtId="38" fontId="1" fillId="16" borderId="0" xfId="5" applyNumberFormat="1" applyFont="1" applyFill="1" applyBorder="1" applyAlignment="1" applyProtection="1">
      <alignment horizontal="right"/>
    </xf>
    <xf numFmtId="38" fontId="1" fillId="16" borderId="10" xfId="5" applyNumberFormat="1" applyFont="1" applyFill="1" applyBorder="1" applyAlignment="1" applyProtection="1">
      <alignment horizontal="right"/>
    </xf>
    <xf numFmtId="38" fontId="1" fillId="16" borderId="7" xfId="10" applyNumberFormat="1" applyFont="1" applyFill="1" applyBorder="1" applyAlignment="1" applyProtection="1">
      <alignment horizontal="right"/>
      <protection locked="0"/>
    </xf>
    <xf numFmtId="38" fontId="14" fillId="16" borderId="7" xfId="10" applyNumberFormat="1" applyFont="1" applyFill="1" applyBorder="1" applyAlignment="1" applyProtection="1">
      <alignment horizontal="right"/>
      <protection locked="0"/>
    </xf>
    <xf numFmtId="38" fontId="1" fillId="16" borderId="7" xfId="5" applyNumberFormat="1" applyFont="1" applyFill="1" applyBorder="1" applyAlignment="1" applyProtection="1">
      <alignment horizontal="right"/>
      <protection locked="0"/>
    </xf>
    <xf numFmtId="6" fontId="1" fillId="16" borderId="18" xfId="5" applyNumberFormat="1" applyFont="1" applyFill="1" applyBorder="1" applyAlignment="1" applyProtection="1">
      <alignment horizontal="right"/>
    </xf>
    <xf numFmtId="0" fontId="2" fillId="16" borderId="10" xfId="10" applyFont="1" applyFill="1" applyBorder="1" applyProtection="1">
      <protection locked="0"/>
    </xf>
    <xf numFmtId="38" fontId="2" fillId="16" borderId="10" xfId="10" applyNumberFormat="1" applyFont="1" applyFill="1" applyBorder="1" applyProtection="1">
      <protection locked="0"/>
    </xf>
    <xf numFmtId="38" fontId="2" fillId="16" borderId="10" xfId="10" applyNumberFormat="1" applyFont="1" applyFill="1" applyBorder="1" applyAlignment="1" applyProtection="1">
      <alignment horizontal="left"/>
      <protection locked="0"/>
    </xf>
    <xf numFmtId="38" fontId="14" fillId="16" borderId="10" xfId="10" applyNumberFormat="1" applyFont="1" applyFill="1" applyBorder="1" applyProtection="1">
      <protection locked="0"/>
    </xf>
    <xf numFmtId="0" fontId="2" fillId="16" borderId="0" xfId="10" applyFont="1" applyFill="1" applyBorder="1" applyAlignment="1" applyProtection="1">
      <alignment horizontal="centerContinuous"/>
      <protection locked="0"/>
    </xf>
    <xf numFmtId="38" fontId="2" fillId="16" borderId="0" xfId="10" applyNumberFormat="1" applyFont="1" applyFill="1" applyBorder="1" applyAlignment="1" applyProtection="1">
      <alignment horizontal="centerContinuous"/>
      <protection locked="0"/>
    </xf>
    <xf numFmtId="38" fontId="2" fillId="16" borderId="0" xfId="10" applyNumberFormat="1" applyFont="1" applyFill="1" applyBorder="1" applyAlignment="1" applyProtection="1">
      <alignment horizontal="left"/>
      <protection locked="0"/>
    </xf>
    <xf numFmtId="38" fontId="14" fillId="16" borderId="0" xfId="10" applyNumberFormat="1" applyFont="1" applyFill="1" applyBorder="1" applyAlignment="1" applyProtection="1">
      <alignment horizontal="right"/>
      <protection locked="0"/>
    </xf>
    <xf numFmtId="38" fontId="14" fillId="16" borderId="0" xfId="5" applyNumberFormat="1" applyFont="1" applyFill="1" applyBorder="1" applyAlignment="1" applyProtection="1">
      <alignment horizontal="right"/>
    </xf>
    <xf numFmtId="37" fontId="1" fillId="16" borderId="0" xfId="5" applyNumberFormat="1" applyFont="1" applyFill="1" applyBorder="1" applyAlignment="1" applyProtection="1">
      <alignment horizontal="right"/>
      <protection locked="0"/>
    </xf>
    <xf numFmtId="38" fontId="1" fillId="16" borderId="0" xfId="10" applyNumberFormat="1" applyFont="1" applyFill="1" applyBorder="1" applyAlignment="1" applyProtection="1">
      <alignment horizontal="right"/>
      <protection locked="0"/>
    </xf>
    <xf numFmtId="6" fontId="1" fillId="16" borderId="18" xfId="10" applyNumberFormat="1" applyFont="1" applyFill="1" applyBorder="1" applyAlignment="1" applyProtection="1">
      <alignment horizontal="right"/>
    </xf>
    <xf numFmtId="38" fontId="14" fillId="16" borderId="0" xfId="5" applyNumberFormat="1" applyFont="1" applyFill="1" applyBorder="1" applyAlignment="1" applyProtection="1">
      <alignment horizontal="right"/>
      <protection locked="0"/>
    </xf>
    <xf numFmtId="0" fontId="2" fillId="16" borderId="10" xfId="10" applyFont="1" applyFill="1" applyBorder="1" applyAlignment="1" applyProtection="1">
      <alignment horizontal="right"/>
      <protection locked="0"/>
    </xf>
    <xf numFmtId="38" fontId="2" fillId="16" borderId="10" xfId="10" applyNumberFormat="1" applyFont="1" applyFill="1" applyBorder="1" applyAlignment="1" applyProtection="1">
      <alignment horizontal="right"/>
      <protection locked="0"/>
    </xf>
    <xf numFmtId="38" fontId="14" fillId="16" borderId="10" xfId="10" applyNumberFormat="1" applyFont="1" applyFill="1" applyBorder="1" applyAlignment="1" applyProtection="1">
      <alignment horizontal="right"/>
      <protection locked="0"/>
    </xf>
    <xf numFmtId="38" fontId="14" fillId="16" borderId="10" xfId="5" applyNumberFormat="1" applyFont="1" applyFill="1" applyBorder="1" applyAlignment="1" applyProtection="1">
      <alignment horizontal="right"/>
      <protection locked="0"/>
    </xf>
    <xf numFmtId="0" fontId="2" fillId="16" borderId="0" xfId="10" applyFont="1" applyFill="1" applyBorder="1" applyAlignment="1" applyProtection="1">
      <alignment horizontal="right"/>
      <protection locked="0"/>
    </xf>
    <xf numFmtId="38" fontId="2" fillId="16" borderId="0" xfId="10" applyNumberFormat="1" applyFont="1" applyFill="1" applyBorder="1" applyAlignment="1" applyProtection="1">
      <alignment horizontal="right"/>
      <protection locked="0"/>
    </xf>
    <xf numFmtId="0" fontId="3" fillId="13" borderId="0" xfId="10" applyFont="1" applyFill="1" applyBorder="1" applyAlignment="1" applyProtection="1">
      <alignment horizontal="center"/>
      <protection locked="0"/>
    </xf>
    <xf numFmtId="38" fontId="3" fillId="16" borderId="0" xfId="10" applyNumberFormat="1" applyFont="1" applyFill="1" applyBorder="1" applyAlignment="1" applyProtection="1">
      <alignment horizontal="center"/>
      <protection locked="0"/>
    </xf>
    <xf numFmtId="38" fontId="28" fillId="16" borderId="0" xfId="10" applyNumberFormat="1" applyFont="1" applyFill="1" applyBorder="1" applyAlignment="1" applyProtection="1">
      <alignment horizontal="center"/>
      <protection locked="0"/>
    </xf>
    <xf numFmtId="38" fontId="2" fillId="14" borderId="13" xfId="10" applyNumberFormat="1" applyFont="1" applyFill="1" applyBorder="1" applyAlignment="1" applyProtection="1">
      <alignment horizontal="right"/>
      <protection locked="0"/>
    </xf>
    <xf numFmtId="37" fontId="1" fillId="14" borderId="13" xfId="10" applyNumberFormat="1" applyFont="1" applyFill="1" applyBorder="1" applyAlignment="1" applyProtection="1">
      <alignment horizontal="right"/>
      <protection locked="0"/>
    </xf>
    <xf numFmtId="10" fontId="1" fillId="16" borderId="10" xfId="11" applyNumberFormat="1" applyFont="1" applyFill="1" applyBorder="1" applyProtection="1">
      <protection locked="0"/>
    </xf>
    <xf numFmtId="9" fontId="1" fillId="16" borderId="0" xfId="11" applyFont="1" applyFill="1" applyBorder="1" applyProtection="1">
      <protection locked="0"/>
    </xf>
    <xf numFmtId="5" fontId="1" fillId="16" borderId="18" xfId="5" applyFont="1" applyFill="1" applyBorder="1" applyProtection="1"/>
    <xf numFmtId="5" fontId="1" fillId="16" borderId="10" xfId="5" applyFont="1" applyFill="1" applyBorder="1" applyProtection="1"/>
    <xf numFmtId="9" fontId="1" fillId="16" borderId="22" xfId="11" applyNumberFormat="1" applyFont="1" applyFill="1" applyBorder="1" applyProtection="1"/>
    <xf numFmtId="0" fontId="1" fillId="16" borderId="49" xfId="10" applyFont="1" applyFill="1" applyBorder="1" applyAlignment="1" applyProtection="1">
      <protection locked="0"/>
    </xf>
    <xf numFmtId="38" fontId="3" fillId="16" borderId="50" xfId="10" applyNumberFormat="1" applyFont="1" applyFill="1" applyBorder="1" applyAlignment="1" applyProtection="1">
      <alignment horizontal="center"/>
      <protection locked="0"/>
    </xf>
    <xf numFmtId="38" fontId="1" fillId="16" borderId="0" xfId="10" applyNumberFormat="1" applyFont="1" applyFill="1" applyBorder="1" applyProtection="1">
      <protection locked="0"/>
    </xf>
    <xf numFmtId="6" fontId="1" fillId="16" borderId="0" xfId="10" applyNumberFormat="1" applyFont="1" applyFill="1" applyBorder="1" applyAlignment="1" applyProtection="1">
      <alignment horizontal="right"/>
    </xf>
    <xf numFmtId="38" fontId="1" fillId="16" borderId="0" xfId="10" applyNumberFormat="1" applyFont="1" applyFill="1" applyBorder="1" applyAlignment="1" applyProtection="1">
      <alignment horizontal="right"/>
    </xf>
    <xf numFmtId="6" fontId="1" fillId="16" borderId="0" xfId="10" applyNumberFormat="1" applyFont="1" applyFill="1" applyBorder="1" applyAlignment="1" applyProtection="1">
      <alignment horizontal="right"/>
      <protection locked="0"/>
    </xf>
    <xf numFmtId="0" fontId="1" fillId="16" borderId="65" xfId="10" applyFont="1" applyFill="1" applyBorder="1" applyProtection="1">
      <protection locked="0"/>
    </xf>
    <xf numFmtId="38" fontId="2" fillId="16" borderId="0" xfId="10" applyNumberFormat="1" applyFont="1" applyFill="1" applyBorder="1" applyProtection="1">
      <protection locked="0"/>
    </xf>
    <xf numFmtId="38" fontId="14" fillId="16" borderId="0" xfId="10" applyNumberFormat="1" applyFont="1" applyFill="1" applyBorder="1" applyAlignment="1" applyProtection="1">
      <alignment horizontal="left"/>
      <protection locked="0"/>
    </xf>
    <xf numFmtId="0" fontId="1" fillId="16" borderId="0" xfId="10" applyNumberFormat="1" applyFont="1" applyFill="1" applyBorder="1" applyProtection="1">
      <protection locked="0"/>
    </xf>
    <xf numFmtId="0" fontId="2" fillId="16" borderId="65" xfId="10" applyFont="1" applyFill="1" applyBorder="1" applyProtection="1">
      <protection locked="0"/>
    </xf>
    <xf numFmtId="6" fontId="1" fillId="16" borderId="0" xfId="5" applyNumberFormat="1" applyFont="1" applyFill="1" applyBorder="1" applyProtection="1"/>
    <xf numFmtId="10" fontId="2" fillId="16" borderId="0" xfId="11" applyNumberFormat="1" applyFont="1" applyFill="1" applyBorder="1" applyProtection="1">
      <protection locked="0"/>
    </xf>
    <xf numFmtId="38" fontId="2" fillId="16" borderId="55" xfId="10" applyNumberFormat="1" applyFont="1" applyFill="1" applyBorder="1" applyProtection="1">
      <protection locked="0"/>
    </xf>
    <xf numFmtId="10" fontId="1" fillId="14" borderId="13" xfId="11" applyNumberFormat="1" applyFont="1" applyFill="1" applyBorder="1" applyProtection="1">
      <protection locked="0"/>
    </xf>
    <xf numFmtId="0" fontId="14" fillId="16" borderId="49" xfId="10" applyFont="1" applyFill="1" applyBorder="1" applyAlignment="1" applyProtection="1">
      <alignment horizontal="right"/>
      <protection locked="0"/>
    </xf>
    <xf numFmtId="0" fontId="14" fillId="16" borderId="52" xfId="10" applyFont="1" applyFill="1" applyBorder="1" applyAlignment="1" applyProtection="1">
      <alignment horizontal="right"/>
      <protection locked="0"/>
    </xf>
    <xf numFmtId="0" fontId="14" fillId="16" borderId="54" xfId="10" applyFont="1" applyFill="1" applyBorder="1" applyAlignment="1" applyProtection="1">
      <alignment horizontal="right"/>
      <protection locked="0"/>
    </xf>
    <xf numFmtId="0" fontId="1" fillId="16" borderId="39" xfId="7" applyFont="1" applyFill="1" applyBorder="1" applyAlignment="1" applyProtection="1">
      <alignment horizontal="right"/>
      <protection locked="0"/>
    </xf>
    <xf numFmtId="0" fontId="1" fillId="9" borderId="0" xfId="7" applyFont="1" applyFill="1"/>
    <xf numFmtId="175" fontId="73" fillId="17" borderId="13" xfId="1" applyNumberFormat="1" applyFont="1" applyFill="1" applyBorder="1"/>
    <xf numFmtId="0" fontId="3" fillId="17" borderId="59" xfId="7" applyFont="1" applyFill="1" applyBorder="1" applyAlignment="1" applyProtection="1">
      <alignment horizontal="right"/>
      <protection locked="0"/>
    </xf>
    <xf numFmtId="3" fontId="1" fillId="17" borderId="61" xfId="7" applyNumberFormat="1" applyFont="1" applyFill="1" applyBorder="1" applyAlignment="1" applyProtection="1">
      <alignment horizontal="right"/>
    </xf>
    <xf numFmtId="3" fontId="1" fillId="17" borderId="61" xfId="7" applyNumberFormat="1" applyFont="1" applyFill="1" applyBorder="1" applyProtection="1">
      <protection locked="0"/>
    </xf>
    <xf numFmtId="0" fontId="3" fillId="17" borderId="61" xfId="7" applyFont="1" applyFill="1" applyBorder="1" applyAlignment="1" applyProtection="1">
      <alignment horizontal="right"/>
    </xf>
    <xf numFmtId="3" fontId="1" fillId="17" borderId="18" xfId="7" applyNumberFormat="1" applyFont="1" applyFill="1" applyBorder="1" applyAlignment="1" applyProtection="1">
      <alignment horizontal="right"/>
    </xf>
    <xf numFmtId="3" fontId="1" fillId="17" borderId="10" xfId="7" applyNumberFormat="1" applyFont="1" applyFill="1" applyBorder="1" applyAlignment="1" applyProtection="1">
      <alignment horizontal="right"/>
    </xf>
    <xf numFmtId="5" fontId="1" fillId="14" borderId="12" xfId="5" applyFont="1" applyFill="1" applyBorder="1" applyProtection="1">
      <protection locked="0"/>
    </xf>
    <xf numFmtId="168" fontId="1" fillId="14" borderId="20" xfId="10" applyNumberFormat="1" applyFont="1" applyFill="1" applyBorder="1" applyProtection="1">
      <protection locked="0"/>
    </xf>
    <xf numFmtId="5" fontId="1" fillId="16" borderId="15" xfId="10" quotePrefix="1" applyNumberFormat="1" applyFont="1" applyFill="1" applyBorder="1" applyAlignment="1" applyProtection="1"/>
    <xf numFmtId="0" fontId="9" fillId="4" borderId="46" xfId="6" applyFill="1" applyBorder="1" applyAlignment="1" applyProtection="1">
      <protection hidden="1"/>
    </xf>
    <xf numFmtId="0" fontId="1" fillId="0" borderId="0" xfId="7" applyFont="1" applyFill="1"/>
    <xf numFmtId="165" fontId="2" fillId="14" borderId="13" xfId="7" applyNumberFormat="1" applyFont="1" applyFill="1" applyBorder="1" applyProtection="1">
      <protection locked="0"/>
    </xf>
    <xf numFmtId="0" fontId="1" fillId="0" borderId="0" xfId="7" applyFont="1" applyFill="1" applyAlignment="1" applyProtection="1">
      <alignment vertical="top"/>
      <protection locked="0"/>
    </xf>
    <xf numFmtId="0" fontId="1" fillId="0" borderId="0" xfId="7" applyFont="1" applyAlignment="1" applyProtection="1">
      <alignment horizontal="left" vertical="top"/>
      <protection locked="0"/>
    </xf>
    <xf numFmtId="0" fontId="1" fillId="0" borderId="0" xfId="7" applyFont="1" applyAlignment="1" applyProtection="1">
      <alignment horizontal="left" vertical="top" wrapText="1"/>
      <protection locked="0"/>
    </xf>
    <xf numFmtId="0" fontId="1" fillId="0" borderId="0" xfId="7" applyFont="1" applyFill="1" applyProtection="1">
      <protection locked="0"/>
    </xf>
    <xf numFmtId="0" fontId="11" fillId="0" borderId="0" xfId="6" applyFont="1" applyFill="1" applyAlignment="1" applyProtection="1">
      <protection locked="0"/>
    </xf>
    <xf numFmtId="0" fontId="1" fillId="0" borderId="0" xfId="7" applyFont="1" applyAlignment="1" applyProtection="1">
      <alignment horizontal="left" vertical="top" wrapText="1" indent="1"/>
      <protection locked="0"/>
    </xf>
    <xf numFmtId="0" fontId="1" fillId="0" borderId="0" xfId="7" applyFont="1" applyFill="1" applyBorder="1" applyAlignment="1" applyProtection="1">
      <alignment vertical="top"/>
      <protection locked="0"/>
    </xf>
    <xf numFmtId="0" fontId="9" fillId="14" borderId="0" xfId="6" applyFill="1" applyBorder="1" applyAlignment="1" applyProtection="1">
      <alignment wrapText="1"/>
      <protection locked="0" hidden="1"/>
    </xf>
    <xf numFmtId="0" fontId="3" fillId="0" borderId="0" xfId="7" applyFont="1" applyAlignment="1" applyProtection="1">
      <alignment horizontal="left" vertical="top" wrapText="1"/>
      <protection locked="0"/>
    </xf>
    <xf numFmtId="0" fontId="3" fillId="0" borderId="0" xfId="7" applyFont="1" applyFill="1" applyAlignment="1" applyProtection="1">
      <alignment vertical="top"/>
      <protection locked="0"/>
    </xf>
    <xf numFmtId="166" fontId="73" fillId="0" borderId="47" xfId="0" applyNumberFormat="1" applyFont="1" applyFill="1" applyBorder="1"/>
    <xf numFmtId="7" fontId="75" fillId="0" borderId="13" xfId="10" applyNumberFormat="1" applyFont="1" applyFill="1" applyBorder="1" applyProtection="1"/>
    <xf numFmtId="173" fontId="73" fillId="16" borderId="13" xfId="3" applyNumberFormat="1" applyFont="1" applyFill="1" applyBorder="1" applyProtection="1"/>
    <xf numFmtId="0" fontId="84" fillId="16" borderId="0" xfId="0" applyFont="1" applyFill="1" applyBorder="1"/>
    <xf numFmtId="0" fontId="84" fillId="17" borderId="0" xfId="0" applyFont="1" applyFill="1" applyBorder="1"/>
    <xf numFmtId="37" fontId="2" fillId="0" borderId="0" xfId="2" applyNumberFormat="1" applyFont="1" applyFill="1" applyProtection="1">
      <protection locked="0"/>
    </xf>
    <xf numFmtId="0" fontId="3" fillId="0" borderId="0" xfId="10" applyFont="1" applyFill="1" applyProtection="1">
      <protection locked="0"/>
    </xf>
    <xf numFmtId="0" fontId="1" fillId="14" borderId="19" xfId="7" applyFont="1" applyFill="1" applyBorder="1" applyProtection="1">
      <protection locked="0"/>
    </xf>
    <xf numFmtId="0" fontId="1" fillId="14" borderId="20" xfId="7" applyFont="1" applyFill="1" applyBorder="1" applyProtection="1">
      <protection locked="0"/>
    </xf>
    <xf numFmtId="0" fontId="2" fillId="0" borderId="7" xfId="7" applyFont="1" applyBorder="1" applyAlignment="1" applyProtection="1">
      <alignment horizontal="center"/>
      <protection locked="0"/>
    </xf>
    <xf numFmtId="0" fontId="2" fillId="0" borderId="0" xfId="7" applyFont="1" applyBorder="1" applyAlignment="1" applyProtection="1">
      <alignment horizontal="center" vertical="top"/>
      <protection locked="0"/>
    </xf>
    <xf numFmtId="173" fontId="75" fillId="17" borderId="13" xfId="3" applyNumberFormat="1" applyFont="1" applyFill="1" applyBorder="1" applyProtection="1"/>
    <xf numFmtId="173" fontId="73" fillId="17" borderId="13" xfId="3" applyNumberFormat="1" applyFont="1" applyFill="1" applyBorder="1" applyProtection="1"/>
    <xf numFmtId="0" fontId="79" fillId="16" borderId="0" xfId="0" applyFont="1" applyFill="1" applyBorder="1" applyAlignment="1">
      <alignment horizontal="center"/>
    </xf>
    <xf numFmtId="0" fontId="79" fillId="16" borderId="0" xfId="0" applyFont="1" applyFill="1" applyBorder="1" applyAlignment="1">
      <alignment horizontal="left"/>
    </xf>
    <xf numFmtId="0" fontId="6" fillId="0" borderId="0" xfId="7" applyFont="1" applyFill="1"/>
    <xf numFmtId="0" fontId="82" fillId="0" borderId="0" xfId="7" applyFont="1" applyFill="1" applyProtection="1">
      <protection hidden="1"/>
    </xf>
    <xf numFmtId="175" fontId="73" fillId="16" borderId="0" xfId="1" applyNumberFormat="1" applyFont="1" applyFill="1" applyBorder="1" applyProtection="1">
      <protection locked="0"/>
    </xf>
    <xf numFmtId="173" fontId="75" fillId="16" borderId="13" xfId="3" applyNumberFormat="1" applyFont="1" applyFill="1" applyBorder="1" applyProtection="1"/>
    <xf numFmtId="5" fontId="75" fillId="17" borderId="13" xfId="10" applyNumberFormat="1" applyFont="1" applyFill="1" applyBorder="1" applyProtection="1"/>
    <xf numFmtId="0" fontId="2" fillId="14" borderId="13" xfId="7" applyFont="1" applyFill="1" applyBorder="1" applyAlignment="1" applyProtection="1">
      <alignment horizontal="left" indent="7"/>
      <protection locked="0"/>
    </xf>
    <xf numFmtId="0" fontId="2" fillId="14" borderId="14" xfId="7" applyFont="1" applyFill="1" applyBorder="1" applyAlignment="1" applyProtection="1">
      <alignment horizontal="left" vertical="center"/>
      <protection locked="0"/>
    </xf>
    <xf numFmtId="0" fontId="2" fillId="14" borderId="13" xfId="7" applyFont="1" applyFill="1" applyBorder="1" applyAlignment="1" applyProtection="1">
      <alignment horizontal="left" vertical="center"/>
      <protection locked="0"/>
    </xf>
    <xf numFmtId="0" fontId="73" fillId="14" borderId="13" xfId="0" applyFont="1" applyFill="1" applyBorder="1" applyProtection="1">
      <protection locked="0"/>
    </xf>
    <xf numFmtId="0" fontId="73" fillId="16" borderId="0" xfId="0" applyFont="1" applyFill="1" applyBorder="1" applyProtection="1">
      <protection locked="0"/>
    </xf>
    <xf numFmtId="0" fontId="9" fillId="0" borderId="0" xfId="6" applyBorder="1" applyAlignment="1" applyProtection="1">
      <alignment wrapText="1"/>
      <protection locked="0"/>
    </xf>
    <xf numFmtId="1" fontId="54" fillId="16" borderId="0" xfId="10" applyNumberFormat="1" applyFont="1" applyFill="1" applyBorder="1" applyAlignment="1" applyProtection="1">
      <alignment horizontal="right"/>
      <protection locked="0"/>
    </xf>
    <xf numFmtId="1" fontId="54" fillId="16" borderId="0" xfId="10" applyNumberFormat="1" applyFont="1" applyFill="1" applyBorder="1" applyProtection="1">
      <protection locked="0"/>
    </xf>
    <xf numFmtId="1" fontId="54" fillId="16" borderId="10" xfId="10" applyNumberFormat="1" applyFont="1" applyFill="1" applyBorder="1" applyProtection="1">
      <protection locked="0"/>
    </xf>
    <xf numFmtId="5" fontId="54" fillId="16" borderId="0" xfId="5" applyFont="1" applyFill="1" applyBorder="1" applyProtection="1">
      <protection locked="0" hidden="1"/>
    </xf>
    <xf numFmtId="166" fontId="73" fillId="16" borderId="0" xfId="0" applyNumberFormat="1" applyFont="1" applyFill="1" applyBorder="1" applyProtection="1">
      <protection locked="0"/>
    </xf>
    <xf numFmtId="175" fontId="54" fillId="16" borderId="0" xfId="1" applyNumberFormat="1" applyFont="1" applyFill="1" applyBorder="1" applyProtection="1">
      <protection locked="0" hidden="1"/>
    </xf>
    <xf numFmtId="175" fontId="54" fillId="16" borderId="0" xfId="1" applyNumberFormat="1" applyFont="1" applyFill="1" applyBorder="1" applyProtection="1">
      <protection locked="0"/>
    </xf>
    <xf numFmtId="175" fontId="54" fillId="16" borderId="10" xfId="1" applyNumberFormat="1" applyFont="1" applyFill="1" applyBorder="1" applyProtection="1">
      <protection locked="0"/>
    </xf>
    <xf numFmtId="0" fontId="1" fillId="11" borderId="0" xfId="7" applyFont="1" applyFill="1"/>
    <xf numFmtId="5" fontId="2" fillId="13" borderId="0" xfId="10" applyNumberFormat="1" applyFont="1" applyFill="1" applyProtection="1">
      <protection locked="0"/>
    </xf>
    <xf numFmtId="37" fontId="9" fillId="16" borderId="0" xfId="6" applyNumberFormat="1" applyFill="1" applyBorder="1" applyAlignment="1" applyProtection="1"/>
    <xf numFmtId="3" fontId="0" fillId="19" borderId="0" xfId="0" applyNumberFormat="1" applyFill="1"/>
    <xf numFmtId="0" fontId="1" fillId="14" borderId="13" xfId="10" applyFont="1" applyFill="1" applyBorder="1" applyProtection="1">
      <protection locked="0"/>
    </xf>
    <xf numFmtId="5" fontId="75" fillId="0" borderId="13" xfId="10" applyNumberFormat="1" applyFont="1" applyFill="1" applyBorder="1" applyProtection="1">
      <protection locked="0"/>
    </xf>
    <xf numFmtId="0" fontId="1" fillId="0" borderId="13" xfId="7" applyFont="1" applyBorder="1" applyAlignment="1" applyProtection="1">
      <alignment shrinkToFit="1"/>
      <protection locked="0"/>
    </xf>
    <xf numFmtId="0" fontId="1" fillId="0" borderId="20" xfId="7" applyFont="1" applyBorder="1" applyAlignment="1" applyProtection="1">
      <alignment shrinkToFit="1"/>
      <protection locked="0"/>
    </xf>
    <xf numFmtId="0" fontId="1" fillId="0" borderId="13" xfId="7" applyFont="1" applyFill="1" applyBorder="1" applyProtection="1">
      <protection locked="0"/>
    </xf>
    <xf numFmtId="0" fontId="1" fillId="0" borderId="13" xfId="7" applyFont="1" applyBorder="1" applyProtection="1">
      <protection locked="0"/>
    </xf>
    <xf numFmtId="0" fontId="9" fillId="0" borderId="13" xfId="6" applyBorder="1" applyAlignment="1" applyProtection="1">
      <alignment shrinkToFit="1"/>
      <protection locked="0"/>
    </xf>
    <xf numFmtId="0" fontId="1" fillId="0" borderId="20" xfId="7" applyFont="1" applyBorder="1" applyProtection="1">
      <protection locked="0"/>
    </xf>
    <xf numFmtId="5" fontId="54" fillId="19" borderId="0" xfId="5" applyNumberFormat="1" applyFont="1" applyFill="1" applyBorder="1" applyProtection="1">
      <protection locked="0"/>
    </xf>
    <xf numFmtId="37" fontId="54" fillId="19" borderId="0" xfId="5" applyNumberFormat="1" applyFont="1" applyFill="1" applyBorder="1" applyProtection="1">
      <protection locked="0"/>
    </xf>
    <xf numFmtId="10" fontId="54" fillId="16" borderId="22" xfId="11" applyNumberFormat="1" applyFont="1" applyFill="1" applyBorder="1" applyProtection="1"/>
    <xf numFmtId="6" fontId="1" fillId="0" borderId="13" xfId="7" applyNumberFormat="1" applyFont="1" applyFill="1" applyBorder="1" applyProtection="1">
      <protection locked="0"/>
    </xf>
    <xf numFmtId="0" fontId="2" fillId="0" borderId="0" xfId="7" applyFont="1" applyFill="1" applyAlignment="1" applyProtection="1">
      <alignment horizontal="center"/>
      <protection locked="0"/>
    </xf>
    <xf numFmtId="175" fontId="2" fillId="0" borderId="0" xfId="1" applyNumberFormat="1" applyFont="1" applyFill="1" applyProtection="1">
      <protection locked="0"/>
    </xf>
    <xf numFmtId="0" fontId="73" fillId="0" borderId="0" xfId="7" applyFont="1" applyFill="1" applyProtection="1">
      <protection locked="0"/>
    </xf>
    <xf numFmtId="0" fontId="54" fillId="0" borderId="20" xfId="7" applyFont="1" applyFill="1" applyBorder="1" applyAlignment="1" applyProtection="1">
      <alignment horizontal="centerContinuous"/>
      <protection locked="0"/>
    </xf>
    <xf numFmtId="0" fontId="54" fillId="0" borderId="13" xfId="7" applyFont="1" applyFill="1" applyBorder="1" applyAlignment="1" applyProtection="1">
      <alignment horizontal="centerContinuous"/>
      <protection locked="0"/>
    </xf>
    <xf numFmtId="5" fontId="54" fillId="0" borderId="13" xfId="5" applyFont="1" applyFill="1" applyBorder="1" applyProtection="1">
      <protection locked="0"/>
    </xf>
    <xf numFmtId="5" fontId="54" fillId="0" borderId="47" xfId="5" applyFont="1" applyFill="1" applyBorder="1" applyProtection="1">
      <protection locked="0"/>
    </xf>
    <xf numFmtId="37" fontId="1" fillId="0" borderId="13" xfId="10" applyNumberFormat="1" applyFont="1" applyFill="1" applyBorder="1" applyProtection="1">
      <protection locked="0"/>
    </xf>
    <xf numFmtId="37" fontId="1" fillId="0" borderId="13" xfId="5" applyNumberFormat="1" applyFont="1" applyFill="1" applyBorder="1" applyAlignment="1" applyProtection="1">
      <alignment horizontal="right"/>
    </xf>
    <xf numFmtId="6" fontId="2" fillId="13" borderId="0" xfId="7" applyNumberFormat="1" applyFont="1" applyFill="1" applyProtection="1">
      <protection locked="0"/>
    </xf>
    <xf numFmtId="0" fontId="1" fillId="0" borderId="19" xfId="7" applyFont="1" applyFill="1" applyBorder="1" applyProtection="1">
      <protection locked="0"/>
    </xf>
    <xf numFmtId="6" fontId="1" fillId="0" borderId="20" xfId="7" applyNumberFormat="1" applyFont="1" applyFill="1" applyBorder="1" applyProtection="1">
      <protection locked="0"/>
    </xf>
    <xf numFmtId="0" fontId="4" fillId="0" borderId="12" xfId="7" applyFont="1" applyFill="1" applyBorder="1" applyProtection="1">
      <protection locked="0"/>
    </xf>
    <xf numFmtId="5" fontId="2" fillId="16" borderId="0" xfId="10" applyNumberFormat="1" applyFont="1" applyFill="1" applyBorder="1" applyProtection="1">
      <protection locked="0"/>
    </xf>
    <xf numFmtId="0" fontId="1" fillId="10" borderId="0" xfId="7" applyFont="1" applyFill="1" applyProtection="1">
      <protection hidden="1"/>
    </xf>
    <xf numFmtId="0" fontId="1" fillId="8" borderId="0" xfId="7" applyFont="1" applyFill="1" applyProtection="1">
      <protection hidden="1"/>
    </xf>
    <xf numFmtId="0" fontId="1" fillId="12" borderId="0" xfId="7" applyFont="1" applyFill="1" applyProtection="1">
      <protection hidden="1"/>
    </xf>
    <xf numFmtId="0" fontId="1" fillId="10" borderId="0" xfId="7" applyFont="1" applyFill="1" applyAlignment="1" applyProtection="1">
      <alignment horizontal="left" indent="1"/>
      <protection hidden="1"/>
    </xf>
    <xf numFmtId="0" fontId="3" fillId="0" borderId="0" xfId="7" applyFont="1" applyAlignment="1">
      <alignment horizontal="center" vertical="center"/>
    </xf>
    <xf numFmtId="0" fontId="3" fillId="0" borderId="0" xfId="7" applyFont="1" applyAlignment="1">
      <alignment horizontal="center" vertical="top"/>
    </xf>
    <xf numFmtId="0" fontId="3" fillId="0" borderId="0" xfId="7" applyFont="1" applyAlignment="1">
      <alignment wrapText="1"/>
    </xf>
    <xf numFmtId="0" fontId="1" fillId="0" borderId="0" xfId="7" applyFont="1" applyAlignment="1">
      <alignment wrapText="1"/>
    </xf>
    <xf numFmtId="0" fontId="1" fillId="0" borderId="0" xfId="7" applyFont="1" applyAlignment="1">
      <alignment horizontal="left" wrapText="1" indent="3"/>
    </xf>
    <xf numFmtId="0" fontId="3" fillId="0" borderId="0" xfId="7" applyFont="1" applyAlignment="1" applyProtection="1">
      <alignment horizontal="center" wrapText="1"/>
      <protection hidden="1"/>
    </xf>
    <xf numFmtId="0" fontId="3" fillId="0" borderId="0" xfId="7" applyFont="1" applyAlignment="1" applyProtection="1">
      <alignment horizontal="center"/>
      <protection hidden="1"/>
    </xf>
    <xf numFmtId="0" fontId="11" fillId="0" borderId="0" xfId="6" applyFont="1" applyAlignment="1" applyProtection="1"/>
    <xf numFmtId="0" fontId="11" fillId="0" borderId="0" xfId="6" applyFont="1" applyFill="1" applyAlignment="1" applyProtection="1">
      <protection locked="0"/>
    </xf>
    <xf numFmtId="0" fontId="11" fillId="0" borderId="0" xfId="6" applyFont="1" applyAlignment="1" applyProtection="1">
      <protection locked="0"/>
    </xf>
    <xf numFmtId="0" fontId="11" fillId="0" borderId="0" xfId="6" applyFont="1" applyFill="1" applyBorder="1" applyAlignment="1" applyProtection="1">
      <protection locked="0"/>
    </xf>
    <xf numFmtId="2" fontId="11" fillId="0" borderId="0" xfId="6" applyNumberFormat="1" applyFont="1" applyAlignment="1" applyProtection="1"/>
    <xf numFmtId="0" fontId="9" fillId="6" borderId="0" xfId="7" applyFont="1" applyFill="1" applyAlignment="1" applyProtection="1">
      <alignment vertical="top"/>
      <protection locked="0"/>
    </xf>
    <xf numFmtId="0" fontId="11" fillId="0" borderId="0" xfId="6" applyFont="1" applyFill="1" applyAlignment="1" applyProtection="1">
      <alignment horizontal="left"/>
      <protection locked="0"/>
    </xf>
    <xf numFmtId="0" fontId="11" fillId="0" borderId="0" xfId="6" applyFont="1" applyAlignment="1" applyProtection="1">
      <alignment horizontal="left"/>
      <protection locked="0"/>
    </xf>
    <xf numFmtId="0" fontId="3" fillId="0" borderId="0" xfId="7" applyFont="1" applyAlignment="1" applyProtection="1">
      <alignment vertical="center" wrapText="1"/>
      <protection locked="0"/>
    </xf>
    <xf numFmtId="0" fontId="2" fillId="0" borderId="0" xfId="7" applyFont="1" applyAlignment="1" applyProtection="1">
      <alignment vertical="center"/>
      <protection locked="0"/>
    </xf>
    <xf numFmtId="0" fontId="4" fillId="4" borderId="14" xfId="7" applyFont="1" applyFill="1" applyBorder="1" applyAlignment="1" applyProtection="1">
      <alignment wrapText="1"/>
      <protection locked="0"/>
    </xf>
    <xf numFmtId="0" fontId="4" fillId="4" borderId="15" xfId="7" applyFont="1" applyFill="1" applyBorder="1" applyAlignment="1" applyProtection="1">
      <alignment wrapText="1"/>
      <protection locked="0"/>
    </xf>
    <xf numFmtId="0" fontId="4" fillId="4" borderId="47" xfId="7" applyFont="1" applyFill="1" applyBorder="1" applyAlignment="1" applyProtection="1">
      <alignment wrapText="1"/>
      <protection locked="0"/>
    </xf>
    <xf numFmtId="0" fontId="2" fillId="0" borderId="9" xfId="7" applyFont="1" applyBorder="1" applyAlignment="1" applyProtection="1">
      <alignment horizontal="left"/>
      <protection locked="0" hidden="1"/>
    </xf>
    <xf numFmtId="0" fontId="2" fillId="0" borderId="10" xfId="7" applyFont="1" applyBorder="1" applyAlignment="1" applyProtection="1">
      <alignment horizontal="left"/>
      <protection locked="0" hidden="1"/>
    </xf>
    <xf numFmtId="0" fontId="2" fillId="0" borderId="11" xfId="7" applyFont="1" applyBorder="1" applyAlignment="1" applyProtection="1">
      <alignment horizontal="left"/>
      <protection locked="0" hidden="1"/>
    </xf>
    <xf numFmtId="0" fontId="1" fillId="0" borderId="9" xfId="7" applyFont="1" applyBorder="1" applyAlignment="1" applyProtection="1">
      <alignment vertical="top" wrapText="1"/>
      <protection locked="0"/>
    </xf>
    <xf numFmtId="0" fontId="2" fillId="0" borderId="10" xfId="7" applyFont="1" applyBorder="1" applyAlignment="1" applyProtection="1">
      <alignment vertical="top" wrapText="1"/>
      <protection locked="0"/>
    </xf>
    <xf numFmtId="0" fontId="2" fillId="0" borderId="11" xfId="7" applyFont="1" applyBorder="1" applyAlignment="1" applyProtection="1">
      <alignment vertical="top" wrapText="1"/>
      <protection locked="0"/>
    </xf>
    <xf numFmtId="0" fontId="3" fillId="4" borderId="6" xfId="7" applyFont="1" applyFill="1" applyBorder="1" applyAlignment="1" applyProtection="1">
      <alignment horizontal="center"/>
      <protection locked="0"/>
    </xf>
    <xf numFmtId="0" fontId="3" fillId="4" borderId="7" xfId="7" applyFont="1" applyFill="1" applyBorder="1" applyAlignment="1" applyProtection="1">
      <alignment horizontal="center"/>
      <protection locked="0"/>
    </xf>
    <xf numFmtId="0" fontId="3" fillId="4" borderId="8" xfId="7" applyFont="1" applyFill="1" applyBorder="1" applyAlignment="1" applyProtection="1">
      <alignment horizontal="center"/>
      <protection locked="0"/>
    </xf>
    <xf numFmtId="0" fontId="2" fillId="0" borderId="14" xfId="7" applyFont="1" applyBorder="1" applyAlignment="1" applyProtection="1">
      <protection locked="0"/>
    </xf>
    <xf numFmtId="0" fontId="2" fillId="0" borderId="15" xfId="7" applyFont="1" applyBorder="1" applyAlignment="1" applyProtection="1">
      <protection locked="0"/>
    </xf>
    <xf numFmtId="0" fontId="1" fillId="0" borderId="9" xfId="7" applyFont="1" applyBorder="1" applyAlignment="1" applyProtection="1">
      <protection locked="0"/>
    </xf>
    <xf numFmtId="0" fontId="2" fillId="0" borderId="10" xfId="7" applyFont="1" applyBorder="1" applyAlignment="1" applyProtection="1">
      <protection locked="0"/>
    </xf>
    <xf numFmtId="0" fontId="1" fillId="0" borderId="12" xfId="7" applyFont="1" applyBorder="1" applyAlignment="1" applyProtection="1">
      <alignment vertical="center" wrapText="1"/>
      <protection locked="0"/>
    </xf>
    <xf numFmtId="0" fontId="2" fillId="0" borderId="20" xfId="7" applyFont="1" applyBorder="1" applyAlignment="1" applyProtection="1">
      <alignment vertical="center" wrapText="1"/>
      <protection locked="0"/>
    </xf>
    <xf numFmtId="0" fontId="2" fillId="0" borderId="7" xfId="7" applyFont="1" applyBorder="1" applyAlignment="1" applyProtection="1">
      <protection locked="0"/>
    </xf>
    <xf numFmtId="0" fontId="2" fillId="0" borderId="0" xfId="7" applyFont="1" applyBorder="1" applyAlignment="1" applyProtection="1">
      <alignment horizontal="center" vertical="top"/>
      <protection locked="0"/>
    </xf>
    <xf numFmtId="0" fontId="2" fillId="0" borderId="6" xfId="7" applyFont="1" applyBorder="1" applyAlignment="1" applyProtection="1">
      <alignment vertical="center" wrapText="1"/>
      <protection locked="0"/>
    </xf>
    <xf numFmtId="0" fontId="2" fillId="0" borderId="8" xfId="7" applyFont="1" applyBorder="1" applyAlignment="1" applyProtection="1">
      <alignment vertical="center" wrapText="1"/>
      <protection locked="0"/>
    </xf>
    <xf numFmtId="0" fontId="2" fillId="0" borderId="9" xfId="7" applyFont="1" applyBorder="1" applyAlignment="1" applyProtection="1">
      <alignment vertical="center" wrapText="1"/>
      <protection locked="0"/>
    </xf>
    <xf numFmtId="0" fontId="2" fillId="0" borderId="11" xfId="7" applyFont="1" applyBorder="1" applyAlignment="1" applyProtection="1">
      <alignment vertical="center" wrapText="1"/>
      <protection locked="0"/>
    </xf>
    <xf numFmtId="0" fontId="2" fillId="0" borderId="0" xfId="7" applyFont="1" applyBorder="1" applyAlignment="1" applyProtection="1">
      <protection locked="0"/>
    </xf>
    <xf numFmtId="0" fontId="17" fillId="16" borderId="52" xfId="7" applyFont="1" applyFill="1" applyBorder="1" applyAlignment="1" applyProtection="1">
      <alignment horizontal="center" vertical="center" wrapText="1"/>
      <protection locked="0"/>
    </xf>
    <xf numFmtId="0" fontId="17" fillId="16" borderId="0" xfId="7" applyFont="1" applyFill="1" applyBorder="1" applyAlignment="1" applyProtection="1">
      <alignment horizontal="center" vertical="center" wrapText="1"/>
      <protection locked="0"/>
    </xf>
    <xf numFmtId="0" fontId="17" fillId="16" borderId="53" xfId="7" applyFont="1" applyFill="1" applyBorder="1" applyAlignment="1" applyProtection="1">
      <alignment horizontal="center" vertical="center" wrapText="1"/>
      <protection locked="0"/>
    </xf>
    <xf numFmtId="0" fontId="3" fillId="13" borderId="0" xfId="7" applyFont="1" applyFill="1" applyAlignment="1" applyProtection="1">
      <alignment horizontal="center" vertical="center" wrapText="1"/>
    </xf>
    <xf numFmtId="0" fontId="3" fillId="13" borderId="0" xfId="7" applyFont="1" applyFill="1" applyAlignment="1" applyProtection="1">
      <alignment horizontal="center"/>
      <protection locked="0"/>
    </xf>
    <xf numFmtId="0" fontId="16" fillId="14" borderId="13" xfId="7" applyFont="1" applyFill="1" applyBorder="1" applyAlignment="1" applyProtection="1">
      <alignment vertical="top" wrapText="1"/>
      <protection locked="0"/>
    </xf>
    <xf numFmtId="0" fontId="2" fillId="14" borderId="13" xfId="7" applyFont="1" applyFill="1" applyBorder="1" applyAlignment="1" applyProtection="1">
      <alignment vertical="top" wrapText="1"/>
      <protection locked="0"/>
    </xf>
    <xf numFmtId="0" fontId="17" fillId="16" borderId="0" xfId="7" applyFont="1" applyFill="1" applyBorder="1" applyAlignment="1" applyProtection="1">
      <alignment vertical="center" wrapText="1"/>
      <protection locked="0"/>
    </xf>
    <xf numFmtId="0" fontId="2" fillId="16" borderId="0" xfId="7" applyFont="1" applyFill="1" applyBorder="1" applyAlignment="1" applyProtection="1">
      <alignment vertical="center" wrapText="1"/>
      <protection locked="0"/>
    </xf>
    <xf numFmtId="0" fontId="16" fillId="16" borderId="0" xfId="7" applyFont="1" applyFill="1" applyBorder="1" applyAlignment="1" applyProtection="1">
      <alignment horizontal="left" vertical="top" wrapText="1"/>
      <protection locked="0"/>
    </xf>
    <xf numFmtId="0" fontId="2" fillId="14" borderId="13" xfId="7" applyFont="1" applyFill="1" applyBorder="1" applyAlignment="1" applyProtection="1">
      <alignment wrapText="1"/>
      <protection locked="0"/>
    </xf>
    <xf numFmtId="0" fontId="2" fillId="16" borderId="52" xfId="7" applyFont="1" applyFill="1" applyBorder="1" applyAlignment="1" applyProtection="1">
      <protection locked="0"/>
    </xf>
    <xf numFmtId="0" fontId="2" fillId="16" borderId="0" xfId="7" applyFont="1" applyFill="1" applyBorder="1" applyAlignment="1" applyProtection="1">
      <protection locked="0"/>
    </xf>
    <xf numFmtId="0" fontId="17" fillId="16" borderId="0" xfId="7" applyFont="1" applyFill="1" applyBorder="1" applyAlignment="1" applyProtection="1">
      <alignment vertical="top" wrapText="1"/>
      <protection locked="0"/>
    </xf>
    <xf numFmtId="0" fontId="2" fillId="16" borderId="0" xfId="7" applyFont="1" applyFill="1" applyBorder="1" applyAlignment="1" applyProtection="1">
      <alignment wrapText="1"/>
      <protection locked="0"/>
    </xf>
    <xf numFmtId="0" fontId="3" fillId="16" borderId="0" xfId="7" applyFont="1" applyFill="1" applyBorder="1" applyAlignment="1">
      <alignment horizontal="left" wrapText="1"/>
    </xf>
    <xf numFmtId="0" fontId="3" fillId="16" borderId="17" xfId="7" applyFont="1" applyFill="1" applyBorder="1" applyAlignment="1">
      <alignment horizontal="left" wrapText="1"/>
    </xf>
    <xf numFmtId="0" fontId="2" fillId="16" borderId="0" xfId="7" applyFont="1" applyFill="1" applyBorder="1" applyAlignment="1">
      <alignment horizontal="center"/>
    </xf>
    <xf numFmtId="0" fontId="1" fillId="14" borderId="6" xfId="7" applyFont="1" applyFill="1" applyBorder="1" applyAlignment="1" applyProtection="1">
      <alignment horizontal="left" vertical="top" wrapText="1"/>
      <protection locked="0"/>
    </xf>
    <xf numFmtId="0" fontId="2" fillId="14" borderId="7" xfId="7" applyFont="1" applyFill="1" applyBorder="1" applyAlignment="1" applyProtection="1">
      <alignment horizontal="left" vertical="top" wrapText="1"/>
      <protection locked="0"/>
    </xf>
    <xf numFmtId="0" fontId="2" fillId="14" borderId="8" xfId="7" applyFont="1" applyFill="1" applyBorder="1" applyAlignment="1" applyProtection="1">
      <alignment horizontal="left" vertical="top" wrapText="1"/>
      <protection locked="0"/>
    </xf>
    <xf numFmtId="0" fontId="2" fillId="14" borderId="9" xfId="7" applyFont="1" applyFill="1" applyBorder="1" applyAlignment="1" applyProtection="1">
      <alignment horizontal="left" vertical="top" wrapText="1"/>
      <protection locked="0"/>
    </xf>
    <xf numFmtId="0" fontId="2" fillId="14" borderId="10" xfId="7" applyFont="1" applyFill="1" applyBorder="1" applyAlignment="1" applyProtection="1">
      <alignment horizontal="left" vertical="top" wrapText="1"/>
      <protection locked="0"/>
    </xf>
    <xf numFmtId="0" fontId="2" fillId="14" borderId="11" xfId="7" applyFont="1" applyFill="1" applyBorder="1" applyAlignment="1" applyProtection="1">
      <alignment horizontal="left" vertical="top" wrapText="1"/>
      <protection locked="0"/>
    </xf>
    <xf numFmtId="0" fontId="3" fillId="13" borderId="0" xfId="7" applyFont="1" applyFill="1" applyAlignment="1" applyProtection="1">
      <alignment horizontal="center"/>
      <protection hidden="1"/>
    </xf>
    <xf numFmtId="0" fontId="2" fillId="13" borderId="0" xfId="7" applyFont="1" applyFill="1" applyAlignment="1" applyProtection="1">
      <alignment horizontal="center"/>
      <protection hidden="1"/>
    </xf>
    <xf numFmtId="0" fontId="3" fillId="13" borderId="0" xfId="7" applyFont="1" applyFill="1" applyAlignment="1" applyProtection="1">
      <alignment horizontal="left" vertical="top" wrapText="1"/>
      <protection locked="0"/>
    </xf>
    <xf numFmtId="0" fontId="3" fillId="16" borderId="0" xfId="7" applyFont="1" applyFill="1" applyBorder="1" applyAlignment="1" applyProtection="1">
      <alignment wrapText="1"/>
      <protection locked="0"/>
    </xf>
    <xf numFmtId="0" fontId="3" fillId="16" borderId="14" xfId="7" applyFont="1" applyFill="1" applyBorder="1" applyAlignment="1" applyProtection="1">
      <alignment horizontal="center" vertical="center"/>
      <protection locked="0"/>
    </xf>
    <xf numFmtId="0" fontId="3" fillId="16" borderId="15" xfId="7" applyFont="1" applyFill="1" applyBorder="1" applyAlignment="1" applyProtection="1">
      <alignment horizontal="center" vertical="center"/>
      <protection locked="0"/>
    </xf>
    <xf numFmtId="0" fontId="3" fillId="16" borderId="47" xfId="7" applyFont="1" applyFill="1" applyBorder="1" applyAlignment="1" applyProtection="1">
      <alignment horizontal="center" vertical="center"/>
      <protection locked="0"/>
    </xf>
    <xf numFmtId="0" fontId="2" fillId="14" borderId="14" xfId="7" applyFont="1" applyFill="1" applyBorder="1" applyAlignment="1" applyProtection="1">
      <alignment horizontal="left"/>
      <protection locked="0"/>
    </xf>
    <xf numFmtId="0" fontId="2" fillId="14" borderId="15" xfId="7" applyFont="1" applyFill="1" applyBorder="1" applyAlignment="1" applyProtection="1">
      <alignment horizontal="left"/>
      <protection locked="0"/>
    </xf>
    <xf numFmtId="0" fontId="2" fillId="14" borderId="47" xfId="7" applyFont="1" applyFill="1" applyBorder="1" applyAlignment="1" applyProtection="1">
      <alignment horizontal="left"/>
      <protection locked="0"/>
    </xf>
    <xf numFmtId="164" fontId="75" fillId="14" borderId="14" xfId="10" applyNumberFormat="1" applyFont="1" applyFill="1" applyBorder="1" applyAlignment="1" applyProtection="1">
      <alignment horizontal="center"/>
      <protection locked="0"/>
    </xf>
    <xf numFmtId="164" fontId="75" fillId="14" borderId="47" xfId="10" applyNumberFormat="1" applyFont="1" applyFill="1" applyBorder="1" applyAlignment="1" applyProtection="1">
      <alignment horizontal="center"/>
      <protection locked="0"/>
    </xf>
    <xf numFmtId="37" fontId="75" fillId="16" borderId="0" xfId="10" applyNumberFormat="1" applyFont="1" applyFill="1" applyBorder="1" applyAlignment="1" applyProtection="1">
      <alignment horizontal="right" wrapText="1"/>
      <protection locked="0"/>
    </xf>
    <xf numFmtId="37" fontId="75" fillId="16" borderId="10" xfId="10" applyNumberFormat="1" applyFont="1" applyFill="1" applyBorder="1" applyAlignment="1" applyProtection="1">
      <alignment horizontal="right" wrapText="1"/>
      <protection locked="0"/>
    </xf>
    <xf numFmtId="0" fontId="10" fillId="0" borderId="10" xfId="10" applyFont="1" applyBorder="1" applyAlignment="1" applyProtection="1">
      <alignment horizontal="center"/>
      <protection locked="0"/>
    </xf>
    <xf numFmtId="0" fontId="1" fillId="0" borderId="10" xfId="7" applyBorder="1" applyAlignment="1" applyProtection="1">
      <protection locked="0"/>
    </xf>
    <xf numFmtId="0" fontId="10" fillId="0" borderId="0" xfId="10" applyFont="1" applyAlignment="1" applyProtection="1">
      <alignment horizontal="center"/>
      <protection locked="0"/>
    </xf>
    <xf numFmtId="0" fontId="1" fillId="0" borderId="0" xfId="7" applyAlignment="1" applyProtection="1">
      <protection locked="0"/>
    </xf>
    <xf numFmtId="164" fontId="75" fillId="17" borderId="0" xfId="10" applyNumberFormat="1" applyFont="1" applyFill="1" applyBorder="1" applyAlignment="1" applyProtection="1">
      <alignment horizontal="center"/>
      <protection locked="0"/>
    </xf>
    <xf numFmtId="37" fontId="75" fillId="17" borderId="0" xfId="10" applyNumberFormat="1" applyFont="1" applyFill="1" applyBorder="1" applyAlignment="1" applyProtection="1">
      <alignment horizontal="right" wrapText="1"/>
      <protection locked="0"/>
    </xf>
    <xf numFmtId="37" fontId="75" fillId="17" borderId="10" xfId="10" applyNumberFormat="1" applyFont="1" applyFill="1" applyBorder="1" applyAlignment="1" applyProtection="1">
      <alignment horizontal="right" wrapText="1"/>
      <protection locked="0"/>
    </xf>
    <xf numFmtId="0" fontId="74" fillId="17" borderId="0" xfId="10" applyFont="1" applyFill="1" applyBorder="1" applyAlignment="1" applyProtection="1">
      <alignment horizontal="left" wrapText="1"/>
      <protection locked="0"/>
    </xf>
    <xf numFmtId="0" fontId="3" fillId="13" borderId="0" xfId="10" applyFont="1" applyFill="1" applyAlignment="1" applyProtection="1">
      <alignment horizontal="center"/>
    </xf>
    <xf numFmtId="0" fontId="3" fillId="13" borderId="0" xfId="7" applyFont="1" applyFill="1" applyAlignment="1" applyProtection="1"/>
    <xf numFmtId="0" fontId="3" fillId="13" borderId="0" xfId="7" applyFont="1" applyFill="1" applyAlignment="1" applyProtection="1">
      <alignment horizontal="center"/>
    </xf>
    <xf numFmtId="0" fontId="55" fillId="13" borderId="0" xfId="7" applyNumberFormat="1" applyFont="1" applyFill="1" applyBorder="1" applyAlignment="1" applyProtection="1">
      <alignment horizontal="center"/>
      <protection locked="0"/>
    </xf>
    <xf numFmtId="0" fontId="3" fillId="13" borderId="0" xfId="7" applyNumberFormat="1" applyFont="1" applyFill="1" applyBorder="1" applyAlignment="1" applyProtection="1">
      <alignment horizontal="center"/>
      <protection locked="0"/>
    </xf>
    <xf numFmtId="0" fontId="17" fillId="13" borderId="0" xfId="7" applyFont="1" applyFill="1" applyBorder="1" applyAlignment="1" applyProtection="1">
      <alignment horizontal="center"/>
      <protection locked="0"/>
    </xf>
    <xf numFmtId="0" fontId="16" fillId="13" borderId="0" xfId="7" applyFont="1" applyFill="1" applyBorder="1" applyAlignment="1" applyProtection="1">
      <alignment horizontal="center"/>
      <protection locked="0"/>
    </xf>
    <xf numFmtId="0" fontId="16" fillId="16" borderId="0" xfId="7" applyFont="1" applyFill="1" applyBorder="1" applyAlignment="1" applyProtection="1">
      <alignment horizontal="left" wrapText="1"/>
      <protection locked="0"/>
    </xf>
    <xf numFmtId="37" fontId="54" fillId="16" borderId="16" xfId="7" applyNumberFormat="1" applyFont="1" applyFill="1" applyBorder="1" applyAlignment="1" applyProtection="1">
      <alignment horizontal="center"/>
    </xf>
    <xf numFmtId="37" fontId="54" fillId="16" borderId="0" xfId="7" applyNumberFormat="1" applyFont="1" applyFill="1" applyBorder="1" applyAlignment="1" applyProtection="1">
      <alignment horizontal="center"/>
    </xf>
    <xf numFmtId="37" fontId="54" fillId="16" borderId="18" xfId="7" applyNumberFormat="1" applyFont="1" applyFill="1" applyBorder="1" applyAlignment="1" applyProtection="1">
      <alignment horizontal="center"/>
    </xf>
    <xf numFmtId="5" fontId="54" fillId="16" borderId="0" xfId="7" applyNumberFormat="1" applyFont="1" applyFill="1" applyBorder="1" applyAlignment="1" applyProtection="1">
      <alignment horizontal="right"/>
    </xf>
    <xf numFmtId="5" fontId="54" fillId="16" borderId="18" xfId="7" applyNumberFormat="1" applyFont="1" applyFill="1" applyBorder="1" applyAlignment="1" applyProtection="1">
      <alignment horizontal="right"/>
    </xf>
    <xf numFmtId="5" fontId="54" fillId="16" borderId="10" xfId="7" applyNumberFormat="1" applyFont="1" applyFill="1" applyBorder="1" applyAlignment="1" applyProtection="1">
      <alignment horizontal="right"/>
    </xf>
    <xf numFmtId="37" fontId="15" fillId="16" borderId="0" xfId="7" applyNumberFormat="1" applyFont="1" applyFill="1" applyBorder="1" applyAlignment="1" applyProtection="1">
      <alignment horizontal="center"/>
      <protection locked="0"/>
    </xf>
    <xf numFmtId="37" fontId="15" fillId="16" borderId="10" xfId="7" applyNumberFormat="1" applyFont="1" applyFill="1" applyBorder="1" applyAlignment="1" applyProtection="1">
      <alignment horizontal="center"/>
      <protection locked="0"/>
    </xf>
    <xf numFmtId="37" fontId="54" fillId="16" borderId="9" xfId="7" applyNumberFormat="1" applyFont="1" applyFill="1" applyBorder="1" applyAlignment="1" applyProtection="1">
      <alignment horizontal="center"/>
    </xf>
    <xf numFmtId="37" fontId="54" fillId="16" borderId="10" xfId="7" applyNumberFormat="1" applyFont="1" applyFill="1" applyBorder="1" applyAlignment="1" applyProtection="1">
      <alignment horizontal="center"/>
    </xf>
    <xf numFmtId="0" fontId="15" fillId="16" borderId="10" xfId="7" applyFont="1" applyFill="1" applyBorder="1" applyAlignment="1" applyProtection="1">
      <alignment horizontal="center"/>
      <protection locked="0"/>
    </xf>
    <xf numFmtId="0" fontId="54" fillId="16" borderId="14" xfId="7" applyFont="1" applyFill="1" applyBorder="1" applyAlignment="1" applyProtection="1">
      <alignment horizontal="left"/>
    </xf>
    <xf numFmtId="0" fontId="54" fillId="16" borderId="15" xfId="7" applyFont="1" applyFill="1" applyBorder="1" applyAlignment="1" applyProtection="1">
      <alignment horizontal="left"/>
    </xf>
    <xf numFmtId="0" fontId="54" fillId="16" borderId="47" xfId="7" applyFont="1" applyFill="1" applyBorder="1" applyAlignment="1" applyProtection="1">
      <alignment horizontal="left"/>
    </xf>
    <xf numFmtId="0" fontId="54" fillId="16" borderId="14" xfId="7" applyFont="1" applyFill="1" applyBorder="1" applyAlignment="1" applyProtection="1">
      <alignment horizontal="left"/>
      <protection locked="0"/>
    </xf>
    <xf numFmtId="0" fontId="54" fillId="16" borderId="15" xfId="7" applyFont="1" applyFill="1" applyBorder="1" applyAlignment="1" applyProtection="1">
      <alignment horizontal="left"/>
      <protection locked="0"/>
    </xf>
    <xf numFmtId="0" fontId="54" fillId="16" borderId="47" xfId="7" applyFont="1" applyFill="1" applyBorder="1" applyAlignment="1" applyProtection="1">
      <alignment horizontal="left"/>
      <protection locked="0"/>
    </xf>
    <xf numFmtId="0" fontId="3" fillId="13" borderId="0" xfId="7" applyNumberFormat="1" applyFont="1" applyFill="1" applyAlignment="1" applyProtection="1">
      <alignment horizontal="center"/>
    </xf>
    <xf numFmtId="0" fontId="1" fillId="13" borderId="0" xfId="7" applyFont="1" applyFill="1" applyAlignment="1" applyProtection="1">
      <protection locked="0"/>
    </xf>
    <xf numFmtId="37" fontId="1" fillId="13" borderId="0" xfId="7" applyNumberFormat="1" applyFont="1" applyFill="1" applyBorder="1" applyAlignment="1" applyProtection="1">
      <alignment horizontal="center"/>
    </xf>
    <xf numFmtId="0" fontId="1" fillId="13" borderId="0" xfId="7" applyFont="1" applyFill="1" applyBorder="1" applyAlignment="1" applyProtection="1"/>
    <xf numFmtId="0" fontId="3" fillId="13" borderId="0" xfId="7" applyNumberFormat="1" applyFont="1" applyFill="1" applyBorder="1" applyAlignment="1" applyProtection="1">
      <alignment horizontal="center"/>
    </xf>
    <xf numFmtId="0" fontId="3" fillId="13" borderId="0" xfId="7" applyFont="1" applyFill="1" applyBorder="1" applyAlignment="1" applyProtection="1">
      <alignment horizontal="center"/>
    </xf>
    <xf numFmtId="0" fontId="3" fillId="13" borderId="0" xfId="10" applyNumberFormat="1" applyFont="1" applyFill="1" applyAlignment="1" applyProtection="1">
      <alignment horizontal="center"/>
    </xf>
    <xf numFmtId="5" fontId="3" fillId="13" borderId="0" xfId="10" applyNumberFormat="1" applyFont="1" applyFill="1" applyBorder="1" applyAlignment="1" applyProtection="1">
      <alignment horizontal="center"/>
      <protection locked="0"/>
    </xf>
    <xf numFmtId="37" fontId="1" fillId="13" borderId="55" xfId="10" applyNumberFormat="1" applyFont="1" applyFill="1" applyBorder="1" applyAlignment="1" applyProtection="1">
      <alignment horizontal="center"/>
    </xf>
    <xf numFmtId="37" fontId="1" fillId="13" borderId="0" xfId="10" applyNumberFormat="1" applyFont="1" applyFill="1" applyBorder="1" applyAlignment="1" applyProtection="1">
      <alignment horizontal="center"/>
    </xf>
    <xf numFmtId="0" fontId="3" fillId="13" borderId="0" xfId="10" applyNumberFormat="1" applyFont="1" applyFill="1" applyAlignment="1" applyProtection="1">
      <alignment horizontal="center"/>
      <protection locked="0"/>
    </xf>
    <xf numFmtId="0" fontId="3" fillId="13" borderId="0" xfId="7" applyNumberFormat="1" applyFont="1" applyFill="1" applyAlignment="1" applyProtection="1">
      <alignment horizontal="center"/>
      <protection locked="0"/>
    </xf>
    <xf numFmtId="0" fontId="3" fillId="13" borderId="0" xfId="10" applyFont="1" applyFill="1" applyAlignment="1" applyProtection="1">
      <alignment horizontal="center"/>
      <protection locked="0"/>
    </xf>
    <xf numFmtId="0" fontId="1" fillId="13" borderId="0" xfId="7" applyFont="1" applyFill="1" applyAlignment="1" applyProtection="1">
      <alignment horizontal="center"/>
      <protection locked="0"/>
    </xf>
    <xf numFmtId="37" fontId="1" fillId="13" borderId="0" xfId="10" applyNumberFormat="1" applyFont="1" applyFill="1" applyBorder="1" applyAlignment="1" applyProtection="1">
      <alignment horizontal="center"/>
      <protection locked="0"/>
    </xf>
    <xf numFmtId="0" fontId="1" fillId="13" borderId="0" xfId="10" applyFont="1" applyFill="1" applyAlignment="1" applyProtection="1">
      <alignment horizontal="center"/>
      <protection hidden="1"/>
    </xf>
    <xf numFmtId="5" fontId="3" fillId="13" borderId="0" xfId="10" applyNumberFormat="1" applyFont="1" applyFill="1" applyAlignment="1" applyProtection="1">
      <alignment horizontal="center"/>
      <protection hidden="1"/>
    </xf>
    <xf numFmtId="0" fontId="3" fillId="13" borderId="0" xfId="8" applyFont="1" applyFill="1" applyAlignment="1" applyProtection="1">
      <alignment horizontal="center"/>
      <protection hidden="1"/>
    </xf>
    <xf numFmtId="0" fontId="3" fillId="13" borderId="0" xfId="10" applyFont="1" applyFill="1" applyAlignment="1" applyProtection="1">
      <alignment horizontal="center"/>
      <protection hidden="1"/>
    </xf>
    <xf numFmtId="37" fontId="1" fillId="13" borderId="0" xfId="10" applyNumberFormat="1" applyFont="1" applyFill="1" applyAlignment="1" applyProtection="1">
      <alignment horizontal="center"/>
      <protection hidden="1"/>
    </xf>
    <xf numFmtId="0" fontId="1" fillId="13" borderId="0" xfId="8" applyFont="1" applyFill="1" applyAlignment="1" applyProtection="1">
      <alignment horizontal="center"/>
      <protection hidden="1"/>
    </xf>
    <xf numFmtId="0" fontId="3" fillId="13" borderId="0" xfId="8" applyFont="1" applyFill="1" applyAlignment="1" applyProtection="1">
      <protection hidden="1"/>
    </xf>
    <xf numFmtId="0" fontId="1" fillId="13" borderId="0" xfId="10" applyFont="1" applyFill="1" applyAlignment="1" applyProtection="1">
      <alignment horizontal="center"/>
      <protection locked="0" hidden="1"/>
    </xf>
    <xf numFmtId="0" fontId="1" fillId="13" borderId="0" xfId="8" applyFont="1" applyFill="1" applyAlignment="1" applyProtection="1">
      <protection locked="0" hidden="1"/>
    </xf>
    <xf numFmtId="0" fontId="3" fillId="16" borderId="50" xfId="10" applyFont="1" applyFill="1" applyBorder="1" applyAlignment="1" applyProtection="1">
      <alignment horizontal="center"/>
      <protection locked="0" hidden="1"/>
    </xf>
    <xf numFmtId="0" fontId="3" fillId="16" borderId="50" xfId="8" applyFont="1" applyFill="1" applyBorder="1" applyAlignment="1" applyProtection="1">
      <protection locked="0" hidden="1"/>
    </xf>
    <xf numFmtId="0" fontId="1" fillId="16" borderId="50" xfId="10" applyFont="1" applyFill="1" applyBorder="1" applyAlignment="1" applyProtection="1">
      <alignment horizontal="center"/>
      <protection locked="0" hidden="1"/>
    </xf>
    <xf numFmtId="0" fontId="1" fillId="16" borderId="50" xfId="8" applyFont="1" applyFill="1" applyBorder="1" applyAlignment="1" applyProtection="1">
      <alignment horizontal="center"/>
      <protection locked="0" hidden="1"/>
    </xf>
    <xf numFmtId="5" fontId="3" fillId="13" borderId="0" xfId="10" applyNumberFormat="1" applyFont="1" applyFill="1" applyAlignment="1" applyProtection="1">
      <alignment horizontal="center"/>
      <protection locked="0" hidden="1"/>
    </xf>
    <xf numFmtId="0" fontId="3" fillId="13" borderId="0" xfId="8" applyFont="1" applyFill="1" applyAlignment="1" applyProtection="1">
      <alignment horizontal="center"/>
      <protection locked="0" hidden="1"/>
    </xf>
    <xf numFmtId="0" fontId="3" fillId="13" borderId="0" xfId="10" applyFont="1" applyFill="1" applyAlignment="1" applyProtection="1">
      <alignment horizontal="center"/>
      <protection locked="0" hidden="1"/>
    </xf>
    <xf numFmtId="0" fontId="14" fillId="13" borderId="0" xfId="10" applyFont="1" applyFill="1" applyBorder="1" applyAlignment="1" applyProtection="1">
      <alignment horizontal="center"/>
      <protection locked="0" hidden="1"/>
    </xf>
    <xf numFmtId="0" fontId="2" fillId="13" borderId="0" xfId="8" applyFont="1" applyFill="1" applyBorder="1" applyAlignment="1" applyProtection="1">
      <protection locked="0" hidden="1"/>
    </xf>
    <xf numFmtId="5" fontId="10" fillId="13" borderId="0" xfId="10" applyNumberFormat="1" applyFont="1" applyFill="1" applyBorder="1" applyAlignment="1" applyProtection="1">
      <alignment horizontal="center"/>
      <protection locked="0"/>
    </xf>
    <xf numFmtId="0" fontId="3" fillId="13" borderId="0" xfId="8" applyFont="1" applyFill="1" applyBorder="1" applyAlignment="1" applyProtection="1">
      <alignment horizontal="center"/>
      <protection locked="0"/>
    </xf>
    <xf numFmtId="0" fontId="10" fillId="13" borderId="0" xfId="10" applyFont="1" applyFill="1" applyBorder="1" applyAlignment="1" applyProtection="1">
      <alignment horizontal="center"/>
      <protection locked="0" hidden="1"/>
    </xf>
    <xf numFmtId="0" fontId="1" fillId="14" borderId="6" xfId="10" applyFont="1" applyFill="1" applyBorder="1" applyAlignment="1" applyProtection="1">
      <alignment horizontal="left" vertical="top" wrapText="1"/>
      <protection locked="0"/>
    </xf>
    <xf numFmtId="0" fontId="1" fillId="14" borderId="7" xfId="10" applyFont="1" applyFill="1" applyBorder="1" applyAlignment="1" applyProtection="1">
      <alignment horizontal="left" vertical="top" wrapText="1"/>
      <protection locked="0"/>
    </xf>
    <xf numFmtId="0" fontId="1" fillId="14" borderId="8" xfId="10" applyFont="1" applyFill="1" applyBorder="1" applyAlignment="1" applyProtection="1">
      <alignment horizontal="left" vertical="top" wrapText="1"/>
      <protection locked="0"/>
    </xf>
    <xf numFmtId="0" fontId="1" fillId="14" borderId="16" xfId="10" applyFont="1" applyFill="1" applyBorder="1" applyAlignment="1" applyProtection="1">
      <alignment horizontal="left" vertical="top" wrapText="1"/>
      <protection locked="0"/>
    </xf>
    <xf numFmtId="0" fontId="1" fillId="14" borderId="0" xfId="10" applyFont="1" applyFill="1" applyBorder="1" applyAlignment="1" applyProtection="1">
      <alignment horizontal="left" vertical="top" wrapText="1"/>
      <protection locked="0"/>
    </xf>
    <xf numFmtId="0" fontId="1" fillId="14" borderId="17" xfId="10" applyFont="1" applyFill="1" applyBorder="1" applyAlignment="1" applyProtection="1">
      <alignment horizontal="left" vertical="top" wrapText="1"/>
      <protection locked="0"/>
    </xf>
    <xf numFmtId="0" fontId="1" fillId="14" borderId="9" xfId="10" applyFont="1" applyFill="1" applyBorder="1" applyAlignment="1" applyProtection="1">
      <alignment horizontal="left" vertical="top" wrapText="1"/>
      <protection locked="0"/>
    </xf>
    <xf numFmtId="0" fontId="1" fillId="14" borderId="10" xfId="10" applyFont="1" applyFill="1" applyBorder="1" applyAlignment="1" applyProtection="1">
      <alignment horizontal="left" vertical="top" wrapText="1"/>
      <protection locked="0"/>
    </xf>
    <xf numFmtId="0" fontId="1" fillId="14" borderId="11" xfId="10" applyFont="1" applyFill="1" applyBorder="1" applyAlignment="1" applyProtection="1">
      <alignment horizontal="left" vertical="top" wrapText="1"/>
      <protection locked="0"/>
    </xf>
    <xf numFmtId="0" fontId="3" fillId="13" borderId="0" xfId="10" applyNumberFormat="1" applyFont="1" applyFill="1" applyAlignment="1" applyProtection="1">
      <alignment horizontal="center" wrapText="1"/>
      <protection hidden="1"/>
    </xf>
    <xf numFmtId="0" fontId="3" fillId="13" borderId="0" xfId="7" applyNumberFormat="1" applyFont="1" applyFill="1" applyAlignment="1" applyProtection="1">
      <alignment horizontal="center"/>
      <protection hidden="1"/>
    </xf>
    <xf numFmtId="0" fontId="1" fillId="13" borderId="0" xfId="10" applyFont="1" applyFill="1" applyAlignment="1" applyProtection="1">
      <alignment horizontal="center"/>
    </xf>
    <xf numFmtId="0" fontId="1" fillId="13" borderId="0" xfId="7" applyFont="1" applyFill="1" applyAlignment="1" applyProtection="1">
      <alignment horizontal="center"/>
    </xf>
    <xf numFmtId="0" fontId="3" fillId="13" borderId="0" xfId="10" applyFont="1" applyFill="1" applyBorder="1" applyAlignment="1" applyProtection="1">
      <alignment horizontal="center"/>
    </xf>
    <xf numFmtId="0" fontId="3" fillId="13" borderId="0" xfId="7" applyFont="1" applyFill="1" applyBorder="1" applyAlignment="1" applyProtection="1"/>
    <xf numFmtId="0" fontId="3" fillId="16" borderId="50" xfId="10" applyFont="1" applyFill="1" applyBorder="1" applyAlignment="1" applyProtection="1">
      <alignment horizontal="center" wrapText="1"/>
    </xf>
    <xf numFmtId="0" fontId="3" fillId="16" borderId="50" xfId="7" applyFont="1" applyFill="1" applyBorder="1" applyAlignment="1" applyProtection="1">
      <alignment horizontal="center" wrapText="1"/>
    </xf>
    <xf numFmtId="0" fontId="3" fillId="16" borderId="0" xfId="7" applyFont="1" applyFill="1" applyBorder="1" applyAlignment="1" applyProtection="1">
      <alignment horizontal="center" wrapText="1"/>
    </xf>
    <xf numFmtId="0" fontId="3" fillId="16" borderId="50" xfId="10" applyFont="1" applyFill="1" applyBorder="1" applyAlignment="1" applyProtection="1">
      <alignment horizontal="center"/>
    </xf>
    <xf numFmtId="0" fontId="3" fillId="16" borderId="50" xfId="7" applyFont="1" applyFill="1" applyBorder="1" applyAlignment="1" applyProtection="1">
      <alignment horizontal="center"/>
    </xf>
    <xf numFmtId="0" fontId="28" fillId="16" borderId="0" xfId="10" applyFont="1" applyFill="1" applyBorder="1" applyAlignment="1" applyProtection="1">
      <alignment horizontal="center"/>
    </xf>
    <xf numFmtId="0" fontId="28" fillId="16" borderId="0" xfId="7" applyFont="1" applyFill="1" applyBorder="1" applyAlignment="1" applyProtection="1"/>
    <xf numFmtId="0" fontId="3" fillId="16" borderId="55" xfId="7" applyFont="1" applyFill="1" applyBorder="1" applyAlignment="1" applyProtection="1">
      <alignment horizontal="center"/>
      <protection locked="0"/>
    </xf>
    <xf numFmtId="37" fontId="3" fillId="13" borderId="0" xfId="7" applyNumberFormat="1" applyFont="1" applyFill="1" applyAlignment="1" applyProtection="1">
      <alignment horizontal="center"/>
      <protection hidden="1"/>
    </xf>
    <xf numFmtId="37" fontId="3" fillId="13" borderId="55" xfId="7" applyNumberFormat="1" applyFont="1" applyFill="1" applyBorder="1" applyAlignment="1" applyProtection="1">
      <alignment horizontal="center"/>
      <protection hidden="1"/>
    </xf>
    <xf numFmtId="0" fontId="3" fillId="16" borderId="0" xfId="10" applyFont="1" applyFill="1" applyBorder="1" applyAlignment="1" applyProtection="1">
      <alignment horizontal="center" vertical="center" wrapText="1"/>
    </xf>
    <xf numFmtId="0" fontId="1" fillId="13" borderId="0" xfId="7" applyFont="1" applyFill="1" applyAlignment="1" applyProtection="1"/>
    <xf numFmtId="171" fontId="3" fillId="16" borderId="0" xfId="10" applyNumberFormat="1" applyFont="1" applyFill="1" applyBorder="1" applyAlignment="1" applyProtection="1">
      <alignment horizontal="center" vertical="center"/>
      <protection locked="0"/>
    </xf>
    <xf numFmtId="0" fontId="3" fillId="16" borderId="0" xfId="10" applyFont="1" applyFill="1" applyBorder="1" applyAlignment="1" applyProtection="1">
      <alignment horizontal="center"/>
      <protection locked="0"/>
    </xf>
    <xf numFmtId="37" fontId="3" fillId="13" borderId="0" xfId="7" applyNumberFormat="1" applyFont="1" applyFill="1" applyBorder="1" applyAlignment="1" applyProtection="1">
      <alignment horizontal="center"/>
      <protection hidden="1"/>
    </xf>
    <xf numFmtId="0" fontId="3" fillId="16" borderId="0" xfId="7" applyFont="1" applyFill="1" applyBorder="1" applyAlignment="1" applyProtection="1">
      <alignment horizontal="center" vertical="center" wrapText="1"/>
    </xf>
    <xf numFmtId="0" fontId="3" fillId="16" borderId="0" xfId="10" applyFont="1" applyFill="1" applyBorder="1" applyAlignment="1" applyProtection="1">
      <alignment horizontal="center"/>
    </xf>
    <xf numFmtId="0" fontId="32" fillId="14" borderId="16" xfId="10" applyFont="1" applyFill="1" applyBorder="1" applyAlignment="1" applyProtection="1">
      <alignment vertical="top"/>
      <protection locked="0"/>
    </xf>
    <xf numFmtId="0" fontId="32" fillId="14" borderId="0" xfId="7" applyFont="1" applyFill="1" applyBorder="1" applyAlignment="1" applyProtection="1">
      <alignment vertical="top"/>
      <protection locked="0"/>
    </xf>
    <xf numFmtId="0" fontId="32" fillId="14" borderId="17" xfId="7" applyFont="1" applyFill="1" applyBorder="1" applyAlignment="1" applyProtection="1">
      <alignment vertical="top"/>
      <protection locked="0"/>
    </xf>
    <xf numFmtId="0" fontId="32" fillId="14" borderId="9" xfId="7" applyFont="1" applyFill="1" applyBorder="1" applyAlignment="1" applyProtection="1">
      <alignment vertical="top"/>
      <protection locked="0"/>
    </xf>
    <xf numFmtId="0" fontId="32" fillId="14" borderId="10" xfId="7" applyFont="1" applyFill="1" applyBorder="1" applyAlignment="1" applyProtection="1">
      <alignment vertical="top"/>
      <protection locked="0"/>
    </xf>
    <xf numFmtId="0" fontId="32" fillId="14" borderId="11" xfId="7" applyFont="1" applyFill="1" applyBorder="1" applyAlignment="1" applyProtection="1">
      <alignment vertical="top"/>
      <protection locked="0"/>
    </xf>
    <xf numFmtId="171" fontId="3" fillId="16" borderId="0" xfId="10" applyNumberFormat="1" applyFont="1" applyFill="1" applyBorder="1" applyAlignment="1" applyProtection="1">
      <alignment horizontal="center" vertical="center"/>
    </xf>
    <xf numFmtId="0" fontId="28" fillId="16" borderId="0" xfId="7" applyFont="1" applyFill="1" applyBorder="1" applyAlignment="1" applyProtection="1">
      <alignment horizontal="center"/>
    </xf>
    <xf numFmtId="0" fontId="3" fillId="16" borderId="0" xfId="7" applyFont="1" applyFill="1" applyBorder="1" applyAlignment="1" applyProtection="1"/>
    <xf numFmtId="0" fontId="1" fillId="16" borderId="0" xfId="10" applyFont="1" applyFill="1" applyBorder="1" applyAlignment="1" applyProtection="1">
      <alignment horizontal="center"/>
    </xf>
    <xf numFmtId="0" fontId="1" fillId="13" borderId="0" xfId="10" applyFont="1" applyFill="1" applyBorder="1" applyAlignment="1" applyProtection="1">
      <alignment horizontal="left" wrapText="1"/>
    </xf>
    <xf numFmtId="0" fontId="1" fillId="13" borderId="0" xfId="7" applyFont="1" applyFill="1" applyAlignment="1" applyProtection="1">
      <alignment wrapText="1"/>
    </xf>
    <xf numFmtId="0" fontId="3" fillId="16" borderId="0" xfId="7" applyFont="1" applyFill="1" applyBorder="1" applyAlignment="1" applyProtection="1">
      <alignment horizontal="center"/>
    </xf>
    <xf numFmtId="0" fontId="54" fillId="16" borderId="0" xfId="10" applyFont="1" applyFill="1" applyBorder="1" applyAlignment="1" applyProtection="1">
      <alignment horizontal="right"/>
    </xf>
    <xf numFmtId="0" fontId="54" fillId="16" borderId="0" xfId="7" applyFont="1" applyFill="1" applyBorder="1" applyAlignment="1" applyProtection="1">
      <alignment horizontal="right"/>
    </xf>
    <xf numFmtId="0" fontId="3" fillId="13" borderId="0" xfId="10" applyNumberFormat="1" applyFont="1" applyFill="1" applyAlignment="1" applyProtection="1">
      <alignment horizontal="center" wrapText="1"/>
    </xf>
    <xf numFmtId="0" fontId="3" fillId="13" borderId="0" xfId="7" applyNumberFormat="1" applyFont="1" applyFill="1" applyAlignment="1" applyProtection="1"/>
    <xf numFmtId="0" fontId="3" fillId="13" borderId="0" xfId="10" applyNumberFormat="1" applyFont="1" applyFill="1" applyBorder="1" applyAlignment="1" applyProtection="1">
      <alignment horizontal="center"/>
    </xf>
    <xf numFmtId="0" fontId="1" fillId="16" borderId="0" xfId="7" applyFont="1" applyFill="1" applyBorder="1" applyAlignment="1" applyProtection="1">
      <alignment horizontal="center"/>
    </xf>
    <xf numFmtId="5" fontId="3" fillId="13" borderId="0" xfId="10" applyNumberFormat="1" applyFont="1" applyFill="1" applyBorder="1" applyAlignment="1" applyProtection="1">
      <alignment horizontal="center"/>
    </xf>
    <xf numFmtId="0" fontId="1" fillId="14" borderId="6" xfId="7" applyFill="1" applyBorder="1" applyAlignment="1" applyProtection="1">
      <alignment horizontal="left" vertical="top"/>
      <protection locked="0"/>
    </xf>
    <xf numFmtId="0" fontId="1" fillId="14" borderId="7" xfId="7" applyFill="1" applyBorder="1" applyAlignment="1" applyProtection="1">
      <alignment horizontal="left" vertical="top"/>
      <protection locked="0"/>
    </xf>
    <xf numFmtId="0" fontId="1" fillId="14" borderId="8" xfId="7" applyFill="1" applyBorder="1" applyAlignment="1" applyProtection="1">
      <alignment horizontal="left" vertical="top"/>
      <protection locked="0"/>
    </xf>
    <xf numFmtId="0" fontId="1" fillId="14" borderId="16" xfId="7" applyFill="1" applyBorder="1" applyAlignment="1" applyProtection="1">
      <alignment horizontal="left" vertical="top"/>
      <protection locked="0"/>
    </xf>
    <xf numFmtId="0" fontId="1" fillId="14" borderId="0" xfId="7" applyFill="1" applyBorder="1" applyAlignment="1" applyProtection="1">
      <alignment horizontal="left" vertical="top"/>
      <protection locked="0"/>
    </xf>
    <xf numFmtId="0" fontId="1" fillId="14" borderId="17" xfId="7" applyFill="1" applyBorder="1" applyAlignment="1" applyProtection="1">
      <alignment horizontal="left" vertical="top"/>
      <protection locked="0"/>
    </xf>
    <xf numFmtId="0" fontId="1" fillId="14" borderId="9" xfId="7" applyFill="1" applyBorder="1" applyAlignment="1" applyProtection="1">
      <alignment horizontal="left" vertical="top"/>
      <protection locked="0"/>
    </xf>
    <xf numFmtId="0" fontId="1" fillId="14" borderId="10" xfId="7" applyFill="1" applyBorder="1" applyAlignment="1" applyProtection="1">
      <alignment horizontal="left" vertical="top"/>
      <protection locked="0"/>
    </xf>
    <xf numFmtId="0" fontId="1" fillId="14" borderId="11" xfId="7" applyFill="1" applyBorder="1" applyAlignment="1" applyProtection="1">
      <alignment horizontal="left" vertical="top"/>
      <protection locked="0"/>
    </xf>
    <xf numFmtId="0" fontId="75" fillId="16" borderId="0" xfId="7" applyFont="1" applyFill="1" applyBorder="1" applyAlignment="1" applyProtection="1">
      <alignment horizontal="center"/>
      <protection locked="0"/>
    </xf>
    <xf numFmtId="0" fontId="75" fillId="16" borderId="0" xfId="7" applyFont="1" applyFill="1" applyBorder="1" applyAlignment="1" applyProtection="1">
      <alignment horizontal="left"/>
    </xf>
    <xf numFmtId="0" fontId="75" fillId="14" borderId="14" xfId="7" applyFont="1" applyFill="1" applyBorder="1" applyAlignment="1" applyProtection="1">
      <alignment horizontal="left" wrapText="1"/>
      <protection locked="0"/>
    </xf>
    <xf numFmtId="0" fontId="75" fillId="14" borderId="47" xfId="7" applyFont="1" applyFill="1" applyBorder="1" applyAlignment="1" applyProtection="1">
      <alignment horizontal="left" wrapText="1"/>
      <protection locked="0"/>
    </xf>
    <xf numFmtId="0" fontId="74" fillId="13" borderId="0" xfId="10" applyNumberFormat="1" applyFont="1" applyFill="1" applyBorder="1" applyAlignment="1" applyProtection="1">
      <alignment horizontal="center"/>
    </xf>
    <xf numFmtId="0" fontId="74" fillId="13" borderId="0" xfId="7" applyNumberFormat="1" applyFont="1" applyFill="1" applyAlignment="1" applyProtection="1">
      <alignment horizontal="center"/>
    </xf>
    <xf numFmtId="0" fontId="74" fillId="13" borderId="0" xfId="10" applyFont="1" applyFill="1" applyAlignment="1" applyProtection="1">
      <alignment horizontal="center"/>
      <protection locked="0"/>
    </xf>
    <xf numFmtId="0" fontId="74" fillId="13" borderId="0" xfId="7" applyFont="1" applyFill="1" applyAlignment="1" applyProtection="1">
      <alignment horizontal="center"/>
      <protection locked="0"/>
    </xf>
    <xf numFmtId="0" fontId="75" fillId="13" borderId="0" xfId="10" applyFont="1" applyFill="1" applyAlignment="1" applyProtection="1">
      <alignment horizontal="center"/>
      <protection locked="0"/>
    </xf>
    <xf numFmtId="0" fontId="75" fillId="13" borderId="0" xfId="7" applyFont="1" applyFill="1" applyAlignment="1" applyProtection="1">
      <alignment horizontal="center"/>
      <protection locked="0"/>
    </xf>
    <xf numFmtId="0" fontId="75" fillId="16" borderId="0" xfId="7" applyFont="1" applyFill="1" applyBorder="1" applyAlignment="1" applyProtection="1">
      <alignment horizontal="left" wrapText="1"/>
      <protection locked="0"/>
    </xf>
    <xf numFmtId="0" fontId="75" fillId="16" borderId="0" xfId="7" applyFont="1" applyFill="1" applyBorder="1" applyAlignment="1" applyProtection="1">
      <alignment wrapText="1"/>
      <protection locked="0"/>
    </xf>
    <xf numFmtId="0" fontId="75" fillId="16" borderId="0" xfId="7" applyFont="1" applyFill="1" applyBorder="1" applyAlignment="1" applyProtection="1">
      <alignment horizontal="left"/>
      <protection locked="0"/>
    </xf>
    <xf numFmtId="0" fontId="75" fillId="16" borderId="0" xfId="7" applyFont="1" applyFill="1" applyBorder="1" applyAlignment="1" applyProtection="1">
      <alignment horizontal="center" vertical="top" wrapText="1"/>
      <protection locked="0"/>
    </xf>
    <xf numFmtId="0" fontId="75" fillId="0" borderId="6" xfId="7" applyFont="1" applyFill="1" applyBorder="1" applyAlignment="1" applyProtection="1">
      <alignment horizontal="left" vertical="top" wrapText="1"/>
      <protection locked="0"/>
    </xf>
    <xf numFmtId="0" fontId="75" fillId="0" borderId="7" xfId="7" applyFont="1" applyFill="1" applyBorder="1" applyAlignment="1" applyProtection="1">
      <alignment horizontal="left" vertical="top" wrapText="1"/>
      <protection locked="0"/>
    </xf>
    <xf numFmtId="0" fontId="75" fillId="0" borderId="8" xfId="7" applyFont="1" applyFill="1" applyBorder="1" applyAlignment="1" applyProtection="1">
      <alignment horizontal="left" vertical="top" wrapText="1"/>
      <protection locked="0"/>
    </xf>
    <xf numFmtId="0" fontId="75" fillId="0" borderId="16" xfId="7" applyFont="1" applyFill="1" applyBorder="1" applyAlignment="1" applyProtection="1">
      <alignment horizontal="left" vertical="top" wrapText="1"/>
      <protection locked="0"/>
    </xf>
    <xf numFmtId="0" fontId="75" fillId="0" borderId="0" xfId="7" applyFont="1" applyFill="1" applyBorder="1" applyAlignment="1" applyProtection="1">
      <alignment horizontal="left" vertical="top" wrapText="1"/>
      <protection locked="0"/>
    </xf>
    <xf numFmtId="0" fontId="75" fillId="0" borderId="17" xfId="7" applyFont="1" applyFill="1" applyBorder="1" applyAlignment="1" applyProtection="1">
      <alignment horizontal="left" vertical="top" wrapText="1"/>
      <protection locked="0"/>
    </xf>
    <xf numFmtId="0" fontId="75" fillId="0" borderId="9" xfId="7" applyFont="1" applyFill="1" applyBorder="1" applyAlignment="1" applyProtection="1">
      <alignment horizontal="left" vertical="top" wrapText="1"/>
      <protection locked="0"/>
    </xf>
    <xf numFmtId="0" fontId="75" fillId="0" borderId="10" xfId="7" applyFont="1" applyFill="1" applyBorder="1" applyAlignment="1" applyProtection="1">
      <alignment horizontal="left" vertical="top" wrapText="1"/>
      <protection locked="0"/>
    </xf>
    <xf numFmtId="0" fontId="75" fillId="0" borderId="11" xfId="7" applyFont="1" applyFill="1" applyBorder="1" applyAlignment="1" applyProtection="1">
      <alignment horizontal="left" vertical="top" wrapText="1"/>
      <protection locked="0"/>
    </xf>
    <xf numFmtId="0" fontId="75" fillId="14" borderId="14" xfId="7" applyFont="1" applyFill="1" applyBorder="1" applyAlignment="1" applyProtection="1">
      <alignment horizontal="left" vertical="center"/>
      <protection locked="0"/>
    </xf>
    <xf numFmtId="0" fontId="75" fillId="14" borderId="15" xfId="7" applyFont="1" applyFill="1" applyBorder="1" applyAlignment="1" applyProtection="1">
      <alignment horizontal="left" vertical="center"/>
      <protection locked="0"/>
    </xf>
    <xf numFmtId="0" fontId="75" fillId="14" borderId="47" xfId="7" applyFont="1" applyFill="1" applyBorder="1" applyAlignment="1" applyProtection="1">
      <alignment horizontal="left" vertical="center"/>
      <protection locked="0"/>
    </xf>
    <xf numFmtId="0" fontId="75" fillId="16" borderId="0" xfId="7" applyFont="1" applyFill="1" applyBorder="1" applyAlignment="1" applyProtection="1">
      <alignment horizontal="left" vertical="top" wrapText="1"/>
      <protection locked="0"/>
    </xf>
    <xf numFmtId="0" fontId="75" fillId="14" borderId="15" xfId="7" applyFont="1" applyFill="1" applyBorder="1" applyAlignment="1" applyProtection="1">
      <alignment horizontal="left" wrapText="1"/>
      <protection locked="0"/>
    </xf>
    <xf numFmtId="0" fontId="75" fillId="13" borderId="0" xfId="7" applyFont="1" applyFill="1" applyBorder="1" applyAlignment="1" applyProtection="1">
      <alignment horizontal="left" vertical="top" wrapText="1"/>
      <protection locked="0"/>
    </xf>
    <xf numFmtId="0" fontId="75" fillId="13" borderId="0" xfId="7" applyFont="1" applyFill="1" applyBorder="1" applyAlignment="1">
      <alignment horizontal="left" vertical="top" wrapText="1"/>
    </xf>
    <xf numFmtId="0" fontId="75" fillId="14" borderId="13" xfId="7" applyFont="1" applyFill="1" applyBorder="1" applyAlignment="1" applyProtection="1">
      <alignment horizontal="left" wrapText="1"/>
      <protection locked="0"/>
    </xf>
    <xf numFmtId="0" fontId="75" fillId="14" borderId="6" xfId="10" applyFont="1" applyFill="1" applyBorder="1" applyAlignment="1" applyProtection="1">
      <alignment horizontal="left" vertical="top" wrapText="1"/>
      <protection locked="0"/>
    </xf>
    <xf numFmtId="0" fontId="75" fillId="14" borderId="7" xfId="10" applyFont="1" applyFill="1" applyBorder="1" applyAlignment="1" applyProtection="1">
      <alignment horizontal="left" vertical="top" wrapText="1"/>
      <protection locked="0"/>
    </xf>
    <xf numFmtId="0" fontId="75" fillId="14" borderId="8" xfId="10" applyFont="1" applyFill="1" applyBorder="1" applyAlignment="1" applyProtection="1">
      <alignment horizontal="left" vertical="top" wrapText="1"/>
      <protection locked="0"/>
    </xf>
    <xf numFmtId="0" fontId="75" fillId="14" borderId="16" xfId="10" applyFont="1" applyFill="1" applyBorder="1" applyAlignment="1" applyProtection="1">
      <alignment horizontal="left" vertical="top" wrapText="1"/>
      <protection locked="0"/>
    </xf>
    <xf numFmtId="0" fontId="75" fillId="14" borderId="0" xfId="10" applyFont="1" applyFill="1" applyBorder="1" applyAlignment="1" applyProtection="1">
      <alignment horizontal="left" vertical="top" wrapText="1"/>
      <protection locked="0"/>
    </xf>
    <xf numFmtId="0" fontId="75" fillId="14" borderId="17" xfId="10" applyFont="1" applyFill="1" applyBorder="1" applyAlignment="1" applyProtection="1">
      <alignment horizontal="left" vertical="top" wrapText="1"/>
      <protection locked="0"/>
    </xf>
    <xf numFmtId="0" fontId="75" fillId="14" borderId="9" xfId="10" applyFont="1" applyFill="1" applyBorder="1" applyAlignment="1" applyProtection="1">
      <alignment horizontal="left" vertical="top" wrapText="1"/>
      <protection locked="0"/>
    </xf>
    <xf numFmtId="0" fontId="75" fillId="14" borderId="10" xfId="10" applyFont="1" applyFill="1" applyBorder="1" applyAlignment="1" applyProtection="1">
      <alignment horizontal="left" vertical="top" wrapText="1"/>
      <protection locked="0"/>
    </xf>
    <xf numFmtId="0" fontId="75" fillId="14" borderId="11" xfId="10" applyFont="1" applyFill="1" applyBorder="1" applyAlignment="1" applyProtection="1">
      <alignment horizontal="left" vertical="top" wrapText="1"/>
      <protection locked="0"/>
    </xf>
    <xf numFmtId="0" fontId="75" fillId="16" borderId="0" xfId="7" applyFont="1" applyFill="1" applyBorder="1" applyAlignment="1" applyProtection="1">
      <alignment horizontal="left" vertical="top"/>
      <protection locked="0"/>
    </xf>
    <xf numFmtId="0" fontId="1" fillId="13" borderId="55" xfId="10" applyFont="1" applyFill="1" applyBorder="1" applyAlignment="1" applyProtection="1">
      <alignment horizontal="center"/>
      <protection locked="0"/>
    </xf>
    <xf numFmtId="0" fontId="2" fillId="16" borderId="14" xfId="7" applyFont="1" applyFill="1" applyBorder="1" applyAlignment="1"/>
    <xf numFmtId="0" fontId="2" fillId="16" borderId="15" xfId="7" applyFont="1" applyFill="1" applyBorder="1" applyAlignment="1"/>
    <xf numFmtId="0" fontId="2" fillId="16" borderId="47" xfId="7" applyFont="1" applyFill="1" applyBorder="1" applyAlignment="1"/>
    <xf numFmtId="0" fontId="1" fillId="14" borderId="6" xfId="7" applyFill="1" applyBorder="1" applyAlignment="1">
      <alignment horizontal="left" vertical="top"/>
    </xf>
    <xf numFmtId="0" fontId="1" fillId="14" borderId="7" xfId="7" applyFill="1" applyBorder="1" applyAlignment="1">
      <alignment horizontal="left" vertical="top"/>
    </xf>
    <xf numFmtId="0" fontId="1" fillId="14" borderId="8" xfId="7" applyFill="1" applyBorder="1" applyAlignment="1">
      <alignment horizontal="left" vertical="top"/>
    </xf>
    <xf numFmtId="0" fontId="1" fillId="14" borderId="16" xfId="7" applyFill="1" applyBorder="1" applyAlignment="1">
      <alignment horizontal="left" vertical="top"/>
    </xf>
    <xf numFmtId="0" fontId="1" fillId="14" borderId="0" xfId="7" applyFill="1" applyBorder="1" applyAlignment="1">
      <alignment horizontal="left" vertical="top"/>
    </xf>
    <xf numFmtId="0" fontId="1" fillId="14" borderId="17" xfId="7" applyFill="1" applyBorder="1" applyAlignment="1">
      <alignment horizontal="left" vertical="top"/>
    </xf>
    <xf numFmtId="0" fontId="1" fillId="14" borderId="9" xfId="7" applyFill="1" applyBorder="1" applyAlignment="1">
      <alignment horizontal="left" vertical="top"/>
    </xf>
    <xf numFmtId="0" fontId="1" fillId="14" borderId="10" xfId="7" applyFill="1" applyBorder="1" applyAlignment="1">
      <alignment horizontal="left" vertical="top"/>
    </xf>
    <xf numFmtId="0" fontId="1" fillId="14" borderId="11" xfId="7" applyFill="1" applyBorder="1" applyAlignment="1">
      <alignment horizontal="left" vertical="top"/>
    </xf>
    <xf numFmtId="0" fontId="2" fillId="14" borderId="7" xfId="10" applyFont="1" applyFill="1" applyBorder="1" applyAlignment="1" applyProtection="1">
      <alignment horizontal="left" vertical="top" wrapText="1"/>
      <protection locked="0"/>
    </xf>
    <xf numFmtId="0" fontId="2" fillId="14" borderId="8" xfId="10" applyFont="1" applyFill="1" applyBorder="1" applyAlignment="1" applyProtection="1">
      <alignment horizontal="left" vertical="top" wrapText="1"/>
      <protection locked="0"/>
    </xf>
    <xf numFmtId="0" fontId="2" fillId="14" borderId="16" xfId="10" applyFont="1" applyFill="1" applyBorder="1" applyAlignment="1" applyProtection="1">
      <alignment horizontal="left" vertical="top" wrapText="1"/>
      <protection locked="0"/>
    </xf>
    <xf numFmtId="0" fontId="2" fillId="14" borderId="0" xfId="10" applyFont="1" applyFill="1" applyBorder="1" applyAlignment="1" applyProtection="1">
      <alignment horizontal="left" vertical="top" wrapText="1"/>
      <protection locked="0"/>
    </xf>
    <xf numFmtId="0" fontId="2" fillId="14" borderId="17" xfId="10" applyFont="1" applyFill="1" applyBorder="1" applyAlignment="1" applyProtection="1">
      <alignment horizontal="left" vertical="top" wrapText="1"/>
      <protection locked="0"/>
    </xf>
    <xf numFmtId="0" fontId="2" fillId="14" borderId="9" xfId="10" applyFont="1" applyFill="1" applyBorder="1" applyAlignment="1" applyProtection="1">
      <alignment horizontal="left" vertical="top" wrapText="1"/>
      <protection locked="0"/>
    </xf>
    <xf numFmtId="0" fontId="2" fillId="14" borderId="10" xfId="10" applyFont="1" applyFill="1" applyBorder="1" applyAlignment="1" applyProtection="1">
      <alignment horizontal="left" vertical="top" wrapText="1"/>
      <protection locked="0"/>
    </xf>
    <xf numFmtId="0" fontId="2" fillId="14" borderId="11" xfId="10" applyFont="1" applyFill="1" applyBorder="1" applyAlignment="1" applyProtection="1">
      <alignment horizontal="left" vertical="top" wrapText="1"/>
      <protection locked="0"/>
    </xf>
    <xf numFmtId="0" fontId="17" fillId="13" borderId="0" xfId="10" applyFont="1" applyFill="1" applyAlignment="1" applyProtection="1">
      <alignment horizontal="left" vertical="top" wrapText="1"/>
      <protection locked="0"/>
    </xf>
    <xf numFmtId="5" fontId="3" fillId="13" borderId="0" xfId="10" applyNumberFormat="1" applyFont="1" applyFill="1" applyAlignment="1" applyProtection="1">
      <alignment horizontal="center"/>
      <protection locked="0"/>
    </xf>
    <xf numFmtId="0" fontId="28" fillId="16" borderId="0" xfId="7" applyFont="1" applyFill="1" applyBorder="1" applyAlignment="1" applyProtection="1">
      <alignment horizontal="left"/>
      <protection locked="0"/>
    </xf>
    <xf numFmtId="0" fontId="3" fillId="16" borderId="0" xfId="7" applyFont="1" applyFill="1" applyBorder="1" applyAlignment="1" applyProtection="1">
      <protection locked="0"/>
    </xf>
    <xf numFmtId="0" fontId="3" fillId="16" borderId="0" xfId="7" applyFont="1" applyFill="1" applyBorder="1" applyAlignment="1" applyProtection="1">
      <alignment horizontal="right"/>
      <protection locked="0"/>
    </xf>
    <xf numFmtId="0" fontId="1" fillId="13" borderId="0" xfId="7" applyNumberFormat="1" applyFont="1" applyFill="1" applyAlignment="1" applyProtection="1"/>
    <xf numFmtId="0" fontId="83" fillId="13" borderId="0" xfId="10" applyFont="1" applyFill="1" applyAlignment="1" applyProtection="1">
      <alignment horizontal="center"/>
      <protection locked="0"/>
    </xf>
    <xf numFmtId="0" fontId="83" fillId="13" borderId="0" xfId="7" applyFont="1" applyFill="1" applyAlignment="1" applyProtection="1">
      <alignment horizontal="center"/>
      <protection locked="0"/>
    </xf>
    <xf numFmtId="0" fontId="3" fillId="13" borderId="0" xfId="10" applyFont="1" applyFill="1" applyBorder="1" applyAlignment="1" applyProtection="1">
      <alignment horizontal="center" vertical="center"/>
      <protection locked="0"/>
    </xf>
    <xf numFmtId="0" fontId="2" fillId="13" borderId="0" xfId="7" applyFont="1" applyFill="1" applyBorder="1" applyAlignment="1" applyProtection="1">
      <alignment horizontal="center" vertical="center"/>
      <protection locked="0"/>
    </xf>
    <xf numFmtId="10" fontId="3" fillId="16" borderId="10" xfId="7" applyNumberFormat="1" applyFont="1" applyFill="1" applyBorder="1" applyAlignment="1" applyProtection="1">
      <alignment horizontal="center"/>
      <protection locked="0"/>
    </xf>
    <xf numFmtId="0" fontId="3" fillId="16" borderId="10" xfId="7" applyFont="1" applyFill="1" applyBorder="1" applyAlignment="1" applyProtection="1">
      <alignment horizontal="center"/>
      <protection locked="0"/>
    </xf>
    <xf numFmtId="0" fontId="28" fillId="16" borderId="0" xfId="7" applyFont="1" applyFill="1" applyBorder="1" applyAlignment="1" applyProtection="1">
      <alignment horizontal="center"/>
      <protection locked="0"/>
    </xf>
    <xf numFmtId="0" fontId="2" fillId="16" borderId="7" xfId="5" applyNumberFormat="1" applyFont="1" applyFill="1" applyBorder="1" applyAlignment="1" applyProtection="1">
      <alignment horizontal="right"/>
      <protection locked="0"/>
    </xf>
    <xf numFmtId="0" fontId="2" fillId="16" borderId="10" xfId="7" applyFont="1" applyFill="1" applyBorder="1" applyAlignment="1" applyProtection="1">
      <protection locked="0"/>
    </xf>
    <xf numFmtId="0" fontId="1" fillId="16" borderId="0" xfId="10" applyFont="1" applyFill="1" applyBorder="1" applyAlignment="1" applyProtection="1">
      <alignment horizontal="left" wrapText="1"/>
      <protection locked="0"/>
    </xf>
    <xf numFmtId="0" fontId="1" fillId="16" borderId="0" xfId="7" applyFont="1" applyFill="1" applyBorder="1" applyAlignment="1" applyProtection="1">
      <alignment horizontal="left" wrapText="1"/>
      <protection locked="0"/>
    </xf>
    <xf numFmtId="0" fontId="1" fillId="16" borderId="48" xfId="7" applyFont="1" applyFill="1" applyBorder="1" applyAlignment="1" applyProtection="1">
      <alignment horizontal="left" wrapText="1"/>
      <protection locked="0"/>
    </xf>
    <xf numFmtId="0" fontId="1" fillId="16" borderId="17" xfId="7" applyFont="1" applyFill="1" applyBorder="1" applyAlignment="1" applyProtection="1">
      <alignment horizontal="left" wrapText="1"/>
      <protection locked="0"/>
    </xf>
    <xf numFmtId="0" fontId="3" fillId="16" borderId="0" xfId="10" applyFont="1" applyFill="1" applyBorder="1" applyAlignment="1" applyProtection="1">
      <protection locked="0"/>
    </xf>
    <xf numFmtId="0" fontId="1" fillId="16" borderId="0" xfId="7" applyFont="1" applyFill="1" applyBorder="1" applyAlignment="1" applyProtection="1">
      <protection locked="0"/>
    </xf>
    <xf numFmtId="0" fontId="1" fillId="13" borderId="0" xfId="10" applyFont="1" applyFill="1" applyBorder="1" applyAlignment="1" applyProtection="1">
      <alignment horizontal="center"/>
      <protection locked="0"/>
    </xf>
    <xf numFmtId="0" fontId="1" fillId="13" borderId="0" xfId="7" applyFont="1" applyFill="1" applyBorder="1" applyAlignment="1" applyProtection="1">
      <alignment horizontal="center"/>
      <protection locked="0"/>
    </xf>
    <xf numFmtId="0" fontId="3" fillId="13" borderId="0" xfId="10" applyFont="1" applyFill="1" applyBorder="1" applyAlignment="1" applyProtection="1">
      <alignment horizontal="center"/>
      <protection locked="0"/>
    </xf>
    <xf numFmtId="0" fontId="3" fillId="13" borderId="0" xfId="10" applyNumberFormat="1" applyFont="1" applyFill="1" applyBorder="1" applyAlignment="1" applyProtection="1">
      <alignment horizontal="center"/>
      <protection locked="0"/>
    </xf>
    <xf numFmtId="0" fontId="1" fillId="13" borderId="0" xfId="7" applyNumberFormat="1" applyFont="1" applyFill="1" applyAlignment="1" applyProtection="1">
      <protection locked="0"/>
    </xf>
    <xf numFmtId="0" fontId="1" fillId="13" borderId="0" xfId="10" applyFont="1" applyFill="1" applyAlignment="1" applyProtection="1">
      <alignment horizontal="center"/>
      <protection locked="0"/>
    </xf>
    <xf numFmtId="0" fontId="3" fillId="16" borderId="0" xfId="7" applyFont="1" applyFill="1" applyBorder="1" applyAlignment="1" applyProtection="1">
      <alignment horizontal="left"/>
      <protection locked="0"/>
    </xf>
    <xf numFmtId="0" fontId="2" fillId="16" borderId="0" xfId="7" applyFont="1" applyFill="1" applyBorder="1" applyAlignment="1" applyProtection="1">
      <alignment horizontal="left"/>
      <protection locked="0"/>
    </xf>
    <xf numFmtId="0" fontId="1" fillId="14" borderId="13" xfId="7" applyFont="1" applyFill="1" applyBorder="1" applyAlignment="1" applyProtection="1">
      <alignment horizontal="left"/>
      <protection locked="0"/>
    </xf>
    <xf numFmtId="0" fontId="2" fillId="14" borderId="13" xfId="7" applyFont="1" applyFill="1" applyBorder="1" applyAlignment="1" applyProtection="1">
      <alignment horizontal="left"/>
      <protection locked="0"/>
    </xf>
    <xf numFmtId="0" fontId="1" fillId="14" borderId="6" xfId="7" applyFont="1" applyFill="1" applyBorder="1" applyAlignment="1" applyProtection="1">
      <alignment vertical="top" wrapText="1"/>
      <protection locked="0"/>
    </xf>
    <xf numFmtId="0" fontId="2" fillId="14" borderId="7" xfId="7" applyFont="1" applyFill="1" applyBorder="1" applyAlignment="1" applyProtection="1">
      <alignment vertical="top" wrapText="1"/>
      <protection locked="0"/>
    </xf>
    <xf numFmtId="0" fontId="2" fillId="14" borderId="8" xfId="7" applyFont="1" applyFill="1" applyBorder="1" applyAlignment="1" applyProtection="1">
      <alignment vertical="top" wrapText="1"/>
      <protection locked="0"/>
    </xf>
    <xf numFmtId="0" fontId="2" fillId="14" borderId="16" xfId="7" applyFont="1" applyFill="1" applyBorder="1" applyAlignment="1" applyProtection="1">
      <alignment vertical="top" wrapText="1"/>
      <protection locked="0"/>
    </xf>
    <xf numFmtId="0" fontId="2" fillId="14" borderId="0" xfId="7" applyFont="1" applyFill="1" applyBorder="1" applyAlignment="1" applyProtection="1">
      <alignment vertical="top" wrapText="1"/>
      <protection locked="0"/>
    </xf>
    <xf numFmtId="0" fontId="2" fillId="14" borderId="17" xfId="7" applyFont="1" applyFill="1" applyBorder="1" applyAlignment="1" applyProtection="1">
      <alignment vertical="top" wrapText="1"/>
      <protection locked="0"/>
    </xf>
    <xf numFmtId="0" fontId="2" fillId="14" borderId="9" xfId="7" applyFont="1" applyFill="1" applyBorder="1" applyAlignment="1" applyProtection="1">
      <alignment vertical="top" wrapText="1"/>
      <protection locked="0"/>
    </xf>
    <xf numFmtId="0" fontId="2" fillId="14" borderId="10" xfId="7" applyFont="1" applyFill="1" applyBorder="1" applyAlignment="1" applyProtection="1">
      <alignment vertical="top" wrapText="1"/>
      <protection locked="0"/>
    </xf>
    <xf numFmtId="0" fontId="2" fillId="14" borderId="11" xfId="7" applyFont="1" applyFill="1" applyBorder="1" applyAlignment="1" applyProtection="1">
      <alignment vertical="top" wrapText="1"/>
      <protection locked="0"/>
    </xf>
    <xf numFmtId="0" fontId="2" fillId="14" borderId="6" xfId="7" applyFont="1" applyFill="1" applyBorder="1" applyAlignment="1" applyProtection="1">
      <alignment vertical="top" wrapText="1"/>
      <protection locked="0"/>
    </xf>
    <xf numFmtId="0" fontId="85" fillId="0" borderId="0" xfId="7" applyFont="1" applyBorder="1" applyAlignment="1" applyProtection="1">
      <alignment horizontal="center" vertical="top" wrapText="1"/>
      <protection locked="0"/>
    </xf>
    <xf numFmtId="0" fontId="86" fillId="0" borderId="0" xfId="7" applyFont="1" applyBorder="1" applyAlignment="1" applyProtection="1">
      <alignment horizontal="center"/>
      <protection locked="0"/>
    </xf>
    <xf numFmtId="0" fontId="44" fillId="0" borderId="6" xfId="7" applyFont="1" applyBorder="1" applyAlignment="1" applyProtection="1">
      <alignment horizontal="left" vertical="top" wrapText="1"/>
      <protection locked="0"/>
    </xf>
    <xf numFmtId="0" fontId="25" fillId="0" borderId="8" xfId="7" applyFont="1" applyBorder="1" applyAlignment="1" applyProtection="1">
      <alignment horizontal="left"/>
      <protection locked="0"/>
    </xf>
    <xf numFmtId="0" fontId="45" fillId="0" borderId="6" xfId="6" applyFont="1" applyBorder="1" applyAlignment="1" applyProtection="1">
      <alignment horizontal="center" vertical="center" wrapText="1"/>
      <protection locked="0"/>
    </xf>
    <xf numFmtId="0" fontId="45" fillId="0" borderId="8" xfId="6" applyFont="1" applyBorder="1" applyAlignment="1" applyProtection="1">
      <alignment horizontal="center" vertical="center" wrapText="1"/>
      <protection locked="0"/>
    </xf>
    <xf numFmtId="0" fontId="45" fillId="0" borderId="9" xfId="6" applyFont="1" applyFill="1" applyBorder="1" applyAlignment="1" applyProtection="1">
      <alignment horizontal="center" vertical="center" wrapText="1"/>
      <protection locked="0"/>
    </xf>
    <xf numFmtId="0" fontId="45" fillId="0" borderId="11" xfId="6" applyFont="1" applyFill="1" applyBorder="1" applyAlignment="1" applyProtection="1">
      <alignment horizontal="center" vertical="center" wrapText="1"/>
      <protection locked="0"/>
    </xf>
    <xf numFmtId="0" fontId="1" fillId="0" borderId="0" xfId="7" applyProtection="1">
      <protection locked="0"/>
    </xf>
  </cellXfs>
  <cellStyles count="12">
    <cellStyle name="Comma" xfId="1" builtinId="3"/>
    <cellStyle name="Comma 2" xfId="2"/>
    <cellStyle name="Currency" xfId="3" builtinId="4"/>
    <cellStyle name="Currency 2" xfId="4"/>
    <cellStyle name="Currency_Rate Case AB  Attachments &amp; Formulas TY2000" xfId="5"/>
    <cellStyle name="Hyperlink" xfId="6" builtinId="8"/>
    <cellStyle name="Normal" xfId="0" builtinId="0"/>
    <cellStyle name="Normal 2" xfId="7"/>
    <cellStyle name="Normal 2 2" xfId="8"/>
    <cellStyle name="Normal 3" xfId="9"/>
    <cellStyle name="Normal_Rate Case AB  Attachments &amp; Formulas TY2000" xfId="10"/>
    <cellStyle name="Percent 2" xfId="11"/>
  </cellStyles>
  <dxfs count="60">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rgb="FF66FF66"/>
        </patternFill>
      </fill>
    </dxf>
    <dxf>
      <fill>
        <patternFill>
          <bgColor rgb="FF66FF66"/>
        </patternFill>
      </fill>
    </dxf>
    <dxf>
      <fill>
        <patternFill>
          <bgColor rgb="FF00FF00"/>
        </patternFill>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8" tint="0.39994506668294322"/>
        </patternFill>
      </fill>
    </dxf>
    <dxf>
      <fill>
        <patternFill>
          <bgColor theme="8" tint="0.39994506668294322"/>
        </patternFill>
      </fill>
    </dxf>
    <dxf>
      <fill>
        <patternFill>
          <bgColor theme="8" tint="0.39994506668294322"/>
        </patternFill>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patternType="solid">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19.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20.xml><?xml version="1.0" encoding="utf-8"?>
<ax:ocx xmlns:ax="http://schemas.microsoft.com/office/2006/activeX" xmlns:r="http://schemas.openxmlformats.org/officeDocument/2006/relationships" ax:classid="{D7053240-CE69-11CD-A777-00DD01143C57}" ax:persistence="persistStreamInit" r:id="rId1"/>
</file>

<file path=xl/activeX/activeX21.xml><?xml version="1.0" encoding="utf-8"?>
<ax:ocx xmlns:ax="http://schemas.microsoft.com/office/2006/activeX" xmlns:r="http://schemas.openxmlformats.org/officeDocument/2006/relationships" ax:classid="{D7053240-CE69-11CD-A777-00DD01143C57}"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978C9E23-D4B0-11CE-BF2D-00AA003F40D0}" ax:persistence="persistStreamInit" r:id="rId1"/>
</file>

<file path=xl/activeX/activeX24.xml><?xml version="1.0" encoding="utf-8"?>
<ax:ocx xmlns:ax="http://schemas.microsoft.com/office/2006/activeX" xmlns:r="http://schemas.openxmlformats.org/officeDocument/2006/relationships" ax:classid="{978C9E23-D4B0-11CE-BF2D-00AA003F40D0}" ax:persistence="persistStreamInit" r:id="rId1"/>
</file>

<file path=xl/activeX/activeX25.xml><?xml version="1.0" encoding="utf-8"?>
<ax:ocx xmlns:ax="http://schemas.microsoft.com/office/2006/activeX" xmlns:r="http://schemas.openxmlformats.org/officeDocument/2006/relationships" ax:classid="{978C9E23-D4B0-11CE-BF2D-00AA003F40D0}" ax:persistence="persistStreamInit" r:id="rId1"/>
</file>

<file path=xl/activeX/activeX26.xml><?xml version="1.0" encoding="utf-8"?>
<ax:ocx xmlns:ax="http://schemas.microsoft.com/office/2006/activeX" xmlns:r="http://schemas.openxmlformats.org/officeDocument/2006/relationships" ax:classid="{D7053240-CE69-11CD-A777-00DD01143C57}" ax:persistence="persistStreamInit" r:id="rId1"/>
</file>

<file path=xl/activeX/activeX27.xml><?xml version="1.0" encoding="utf-8"?>
<ax:ocx xmlns:ax="http://schemas.microsoft.com/office/2006/activeX" xmlns:r="http://schemas.openxmlformats.org/officeDocument/2006/relationships" ax:classid="{978C9E23-D4B0-11CE-BF2D-00AA003F40D0}" ax:persistence="persistStreamInit" r:id="rId1"/>
</file>

<file path=xl/activeX/activeX28.xml><?xml version="1.0" encoding="utf-8"?>
<ax:ocx xmlns:ax="http://schemas.microsoft.com/office/2006/activeX" xmlns:r="http://schemas.openxmlformats.org/officeDocument/2006/relationships" ax:classid="{D7053240-CE69-11CD-A777-00DD01143C57}" ax:persistence="persistStreamInit" r:id="rId1"/>
</file>

<file path=xl/activeX/activeX29.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18.v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21.emf"/><Relationship Id="rId4" Type="http://schemas.openxmlformats.org/officeDocument/2006/relationships/image" Target="../media/image24.emf"/></Relationships>
</file>

<file path=xl/drawings/_rels/vmlDrawing19.v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6.emf"/><Relationship Id="rId1" Type="http://schemas.openxmlformats.org/officeDocument/2006/relationships/image" Target="../media/image2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8.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1</xdr:col>
      <xdr:colOff>0</xdr:colOff>
      <xdr:row>1</xdr:row>
      <xdr:rowOff>9525</xdr:rowOff>
    </xdr:to>
    <xdr:pic>
      <xdr:nvPicPr>
        <xdr:cNvPr id="4685" name="Picture 1" descr="wi_seal"/>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962025"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ntrol" Target="../activeX/activeX18.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ntrol" Target="../activeX/activeX19.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ntrol" Target="../activeX/activeX20.xml"/><Relationship Id="rId2" Type="http://schemas.openxmlformats.org/officeDocument/2006/relationships/vmlDrawing" Target="../drawings/vmlDrawing18.vml"/><Relationship Id="rId1" Type="http://schemas.openxmlformats.org/officeDocument/2006/relationships/printerSettings" Target="../printerSettings/printerSettings20.bin"/><Relationship Id="rId6" Type="http://schemas.openxmlformats.org/officeDocument/2006/relationships/control" Target="../activeX/activeX23.xml"/><Relationship Id="rId5" Type="http://schemas.openxmlformats.org/officeDocument/2006/relationships/control" Target="../activeX/activeX22.xml"/><Relationship Id="rId4" Type="http://schemas.openxmlformats.org/officeDocument/2006/relationships/control" Target="../activeX/activeX21.xml"/></Relationships>
</file>

<file path=xl/worksheets/_rels/sheet21.xml.rels><?xml version="1.0" encoding="UTF-8" standalone="yes"?>
<Relationships xmlns="http://schemas.openxmlformats.org/package/2006/relationships"><Relationship Id="rId3" Type="http://schemas.openxmlformats.org/officeDocument/2006/relationships/control" Target="../activeX/activeX24.xml"/><Relationship Id="rId2" Type="http://schemas.openxmlformats.org/officeDocument/2006/relationships/vmlDrawing" Target="../drawings/vmlDrawing19.vml"/><Relationship Id="rId1" Type="http://schemas.openxmlformats.org/officeDocument/2006/relationships/printerSettings" Target="../printerSettings/printerSettings21.bin"/><Relationship Id="rId5" Type="http://schemas.openxmlformats.org/officeDocument/2006/relationships/control" Target="../activeX/activeX26.xml"/><Relationship Id="rId4" Type="http://schemas.openxmlformats.org/officeDocument/2006/relationships/control" Target="../activeX/activeX25.xml"/></Relationships>
</file>

<file path=xl/worksheets/_rels/sheet22.xml.rels><?xml version="1.0" encoding="UTF-8" standalone="yes"?>
<Relationships xmlns="http://schemas.openxmlformats.org/package/2006/relationships"><Relationship Id="rId3" Type="http://schemas.openxmlformats.org/officeDocument/2006/relationships/control" Target="../activeX/activeX27.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2.xml"/><Relationship Id="rId3" Type="http://schemas.openxmlformats.org/officeDocument/2006/relationships/control" Target="../activeX/activeX7.xml"/><Relationship Id="rId7" Type="http://schemas.openxmlformats.org/officeDocument/2006/relationships/control" Target="../activeX/activeX1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control" Target="../activeX/activeX10.xml"/><Relationship Id="rId5" Type="http://schemas.openxmlformats.org/officeDocument/2006/relationships/control" Target="../activeX/activeX9.xml"/><Relationship Id="rId10" Type="http://schemas.openxmlformats.org/officeDocument/2006/relationships/control" Target="../activeX/activeX14.xml"/><Relationship Id="rId4" Type="http://schemas.openxmlformats.org/officeDocument/2006/relationships/control" Target="../activeX/activeX8.xml"/><Relationship Id="rId9" Type="http://schemas.openxmlformats.org/officeDocument/2006/relationships/control" Target="../activeX/activeX13.xml"/></Relationships>
</file>

<file path=xl/worksheets/_rels/sheet30.xml.rels><?xml version="1.0" encoding="UTF-8" standalone="yes"?>
<Relationships xmlns="http://schemas.openxmlformats.org/package/2006/relationships"><Relationship Id="rId3" Type="http://schemas.openxmlformats.org/officeDocument/2006/relationships/control" Target="../activeX/activeX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ntrol" Target="../activeX/activeX29.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hyperlink" Target="mailto:paul.newman@wisconsin.gov" TargetMode="External"/><Relationship Id="rId2" Type="http://schemas.openxmlformats.org/officeDocument/2006/relationships/hyperlink" Target="mailto:pscrecs@wisconsin.gov" TargetMode="External"/><Relationship Id="rId1" Type="http://schemas.openxmlformats.org/officeDocument/2006/relationships/hyperlink" Target="http://psc.wi.gov/apps35/erf_public/Default.aspx" TargetMode="External"/><Relationship Id="rId6" Type="http://schemas.openxmlformats.org/officeDocument/2006/relationships/printerSettings" Target="../printerSettings/printerSettings36.bin"/><Relationship Id="rId5" Type="http://schemas.openxmlformats.org/officeDocument/2006/relationships/hyperlink" Target="http://psc.wi.gov/apps35/ERF_public/info/Document.aspx" TargetMode="External"/><Relationship Id="rId4" Type="http://schemas.openxmlformats.org/officeDocument/2006/relationships/hyperlink" Target="http://psc.wi.gov/apps35/erf_public/Default.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paul.newman@psc.state.wi.us" TargetMode="External"/><Relationship Id="rId2" Type="http://schemas.openxmlformats.org/officeDocument/2006/relationships/hyperlink" Target="mailto:Rebecca.Yoh@wisconsin.gov" TargetMode="External"/><Relationship Id="rId1" Type="http://schemas.openxmlformats.org/officeDocument/2006/relationships/hyperlink" Target="https://psc.wi.gov/apps40/erf_upload/default.aspx"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psc.wi.gov/apps35/erf_upload/default.aspx" TargetMode="Externa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7.xml"/><Relationship Id="rId3" Type="http://schemas.openxmlformats.org/officeDocument/2006/relationships/printerSettings" Target="../printerSettings/printerSettings5.bin"/><Relationship Id="rId7" Type="http://schemas.openxmlformats.org/officeDocument/2006/relationships/control" Target="../activeX/activeX16.xml"/><Relationship Id="rId2" Type="http://schemas.openxmlformats.org/officeDocument/2006/relationships/hyperlink" Target="mailto:MKrentz@madisonwater.org" TargetMode="External"/><Relationship Id="rId1" Type="http://schemas.openxmlformats.org/officeDocument/2006/relationships/hyperlink" Target="mailto:egranum@trilogy-llc.com" TargetMode="External"/><Relationship Id="rId6" Type="http://schemas.openxmlformats.org/officeDocument/2006/relationships/control" Target="../activeX/activeX15.xml"/><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0"/>
  <dimension ref="A1:E26"/>
  <sheetViews>
    <sheetView workbookViewId="0">
      <selection activeCell="I10" sqref="I10"/>
    </sheetView>
  </sheetViews>
  <sheetFormatPr defaultRowHeight="12.75"/>
  <cols>
    <col min="1" max="1" width="15.85546875" style="2" customWidth="1"/>
    <col min="2" max="2" width="11.28515625" style="2" customWidth="1"/>
    <col min="3" max="3" width="13" style="2" customWidth="1"/>
    <col min="4" max="5" width="9.140625" style="2"/>
    <col min="6" max="6" width="9.7109375" style="2" customWidth="1"/>
    <col min="7" max="16384" width="9.140625" style="2"/>
  </cols>
  <sheetData>
    <row r="1" spans="1:5">
      <c r="B1" s="1"/>
    </row>
    <row r="2" spans="1:5">
      <c r="A2" s="171">
        <v>41831.643101851849</v>
      </c>
      <c r="B2" s="1"/>
    </row>
    <row r="4" spans="1:5">
      <c r="C4" s="1"/>
    </row>
    <row r="6" spans="1:5">
      <c r="C6" s="3" t="s">
        <v>0</v>
      </c>
      <c r="E6" s="4" t="s">
        <v>1</v>
      </c>
    </row>
    <row r="7" spans="1:5">
      <c r="C7" s="3"/>
      <c r="D7" s="5"/>
    </row>
    <row r="8" spans="1:5">
      <c r="C8" s="3" t="s">
        <v>2</v>
      </c>
    </row>
    <row r="9" spans="1:5">
      <c r="C9" s="3"/>
    </row>
    <row r="10" spans="1:5">
      <c r="C10" s="3" t="s">
        <v>3</v>
      </c>
    </row>
    <row r="11" spans="1:5">
      <c r="D11" s="5"/>
    </row>
    <row r="13" spans="1:5">
      <c r="D13" s="5"/>
    </row>
    <row r="20" spans="2:4">
      <c r="C20" s="6" t="s">
        <v>4</v>
      </c>
    </row>
    <row r="21" spans="2:4">
      <c r="D21" s="5"/>
    </row>
    <row r="22" spans="2:4">
      <c r="C22" s="5"/>
    </row>
    <row r="26" spans="2:4">
      <c r="B26" s="5" t="s">
        <v>5</v>
      </c>
      <c r="C26" s="7"/>
    </row>
  </sheetData>
  <pageMargins left="0.75" right="0.75" top="1" bottom="1" header="0.5" footer="0.5"/>
  <pageSetup orientation="portrait" verticalDpi="1200" r:id="rId1"/>
  <headerFooter alignWithMargins="0"/>
  <legacyDrawing r:id="rId2"/>
  <controls>
    <control shapeId="1034" r:id="rId3" name="TextBox1"/>
    <control shapeId="1029" r:id="rId4" name="cmdStart"/>
    <control shapeId="1028" r:id="rId5" name="cboClass"/>
    <control shapeId="1027" r:id="rId6" name="cmdOK"/>
    <control shapeId="1026" r:id="rId7" name="cboUtilName"/>
    <control shapeId="1025" r:id="rId8" name="txtYear"/>
  </controls>
</worksheet>
</file>

<file path=xl/worksheets/sheet10.xml><?xml version="1.0" encoding="utf-8"?>
<worksheet xmlns="http://schemas.openxmlformats.org/spreadsheetml/2006/main" xmlns:r="http://schemas.openxmlformats.org/officeDocument/2006/relationships">
  <sheetPr codeName="Sheet49">
    <pageSetUpPr fitToPage="1"/>
  </sheetPr>
  <dimension ref="A1:P56"/>
  <sheetViews>
    <sheetView zoomScaleNormal="100" workbookViewId="0">
      <selection activeCell="C54" sqref="C54"/>
    </sheetView>
  </sheetViews>
  <sheetFormatPr defaultRowHeight="14.25"/>
  <cols>
    <col min="1" max="1" width="15.140625" style="107" bestFit="1" customWidth="1"/>
    <col min="2" max="2" width="11.42578125" style="107" bestFit="1" customWidth="1"/>
    <col min="3" max="3" width="12.85546875" style="107" bestFit="1" customWidth="1"/>
    <col min="4" max="5" width="13.28515625" style="107" customWidth="1"/>
    <col min="6" max="6" width="3.140625" style="107" customWidth="1"/>
    <col min="7" max="7" width="15.140625" style="107" bestFit="1" customWidth="1"/>
    <col min="8" max="9" width="11.28515625" style="107" bestFit="1" customWidth="1"/>
    <col min="10" max="10" width="13.140625" style="107" customWidth="1"/>
    <col min="11" max="11" width="14" style="107" bestFit="1" customWidth="1"/>
    <col min="12" max="63" width="9.140625" style="29" customWidth="1"/>
    <col min="64" max="16384" width="9.140625" style="29"/>
  </cols>
  <sheetData>
    <row r="1" spans="1:13" ht="12.75">
      <c r="A1" s="1936" t="str">
        <f>Utility</f>
        <v>MADISON WATER UTILITY</v>
      </c>
      <c r="B1" s="1937"/>
      <c r="C1" s="1937"/>
      <c r="D1" s="1937"/>
      <c r="E1" s="1937"/>
      <c r="F1" s="1937"/>
      <c r="G1" s="1937"/>
      <c r="H1" s="1937"/>
      <c r="I1" s="1937"/>
      <c r="J1" s="1937"/>
      <c r="K1" s="92" t="s">
        <v>1107</v>
      </c>
    </row>
    <row r="2" spans="1:13">
      <c r="A2" s="1936" t="str">
        <f>CONCATENATE("Test Year ",TestYear)</f>
        <v>Test Year 2015</v>
      </c>
      <c r="B2" s="1937"/>
      <c r="C2" s="1937"/>
      <c r="D2" s="1937"/>
      <c r="E2" s="1937"/>
      <c r="F2" s="1937"/>
      <c r="G2" s="1937"/>
      <c r="H2" s="1937"/>
      <c r="I2" s="1937"/>
      <c r="J2" s="1937"/>
    </row>
    <row r="3" spans="1:13">
      <c r="A3" s="1936" t="s">
        <v>279</v>
      </c>
      <c r="B3" s="1937"/>
      <c r="C3" s="1937"/>
      <c r="D3" s="1937"/>
      <c r="E3" s="1937"/>
      <c r="F3" s="1937"/>
      <c r="G3" s="1937"/>
      <c r="H3" s="1937"/>
      <c r="I3" s="1937"/>
      <c r="J3" s="1937"/>
    </row>
    <row r="5" spans="1:13" s="28" customFormat="1" ht="12.75">
      <c r="A5" s="1934" t="s">
        <v>9</v>
      </c>
      <c r="B5" s="1935"/>
      <c r="C5" s="1935"/>
      <c r="D5" s="1935"/>
      <c r="E5" s="1935"/>
      <c r="F5" s="108"/>
      <c r="G5" s="1934" t="s">
        <v>252</v>
      </c>
      <c r="H5" s="1935"/>
      <c r="I5" s="1935"/>
      <c r="J5" s="1935"/>
      <c r="K5" s="1935"/>
    </row>
    <row r="6" spans="1:13" s="28" customFormat="1" ht="12.75">
      <c r="A6" s="109"/>
      <c r="B6" s="109" t="s">
        <v>280</v>
      </c>
      <c r="C6" s="109" t="s">
        <v>281</v>
      </c>
      <c r="D6" s="109" t="s">
        <v>282</v>
      </c>
      <c r="E6" s="109" t="s">
        <v>283</v>
      </c>
      <c r="F6" s="109"/>
      <c r="G6" s="109"/>
      <c r="H6" s="109" t="s">
        <v>280</v>
      </c>
      <c r="I6" s="109" t="s">
        <v>281</v>
      </c>
      <c r="J6" s="109" t="s">
        <v>282</v>
      </c>
      <c r="K6" s="109" t="s">
        <v>283</v>
      </c>
    </row>
    <row r="7" spans="1:13" s="28" customFormat="1" ht="12.75">
      <c r="A7" s="110" t="s">
        <v>284</v>
      </c>
      <c r="B7" s="110" t="s">
        <v>285</v>
      </c>
      <c r="C7" s="110" t="str">
        <f>IF(Measurement=2,"(Mgals)","(Ccf's)")</f>
        <v>(Ccf's)</v>
      </c>
      <c r="D7" s="110" t="str">
        <f>C7</f>
        <v>(Ccf's)</v>
      </c>
      <c r="E7" s="110" t="s">
        <v>286</v>
      </c>
      <c r="F7" s="109"/>
      <c r="G7" s="111" t="s">
        <v>284</v>
      </c>
      <c r="H7" s="111" t="s">
        <v>285</v>
      </c>
      <c r="I7" s="111" t="str">
        <f>C7</f>
        <v>(Ccf's)</v>
      </c>
      <c r="J7" s="111" t="str">
        <f>C7</f>
        <v>(Ccf's)</v>
      </c>
      <c r="K7" s="111" t="s">
        <v>286</v>
      </c>
    </row>
    <row r="8" spans="1:13" s="28" customFormat="1" ht="12.75">
      <c r="A8" s="112">
        <f>Data!C246</f>
        <v>2010</v>
      </c>
      <c r="B8" s="113">
        <f>Data!D246</f>
        <v>56346</v>
      </c>
      <c r="C8" s="113">
        <f>IF(Measurement=2,Data!E246,Data!E246/0.748)</f>
        <v>4111278.0748663102</v>
      </c>
      <c r="D8" s="114">
        <f>C8/B8/4</f>
        <v>18.241215325250728</v>
      </c>
      <c r="E8" s="115">
        <v>0</v>
      </c>
      <c r="F8" s="116"/>
      <c r="G8" s="112">
        <f>Data!C252</f>
        <v>2010</v>
      </c>
      <c r="H8" s="113">
        <f>Data!D252</f>
        <v>8873</v>
      </c>
      <c r="I8" s="113">
        <f>IF(Measurement=2,Data!E252,Data!E252/0.748)</f>
        <v>5187264.7058823528</v>
      </c>
      <c r="J8" s="114">
        <f>I8/H8/4</f>
        <v>146.15306846281845</v>
      </c>
      <c r="K8" s="115">
        <v>0</v>
      </c>
    </row>
    <row r="9" spans="1:13" s="28" customFormat="1" ht="12.75">
      <c r="A9" s="112">
        <f>Data!C247</f>
        <v>2011</v>
      </c>
      <c r="B9" s="113">
        <f>Data!D247</f>
        <v>56541</v>
      </c>
      <c r="C9" s="113">
        <f>IF(Measurement=2,Data!E247,Data!E247/0.748)</f>
        <v>4140320.8556149732</v>
      </c>
      <c r="D9" s="114">
        <f>C9/B9/4</f>
        <v>18.306719263963199</v>
      </c>
      <c r="E9" s="115">
        <f>B9-B8</f>
        <v>195</v>
      </c>
      <c r="F9" s="117"/>
      <c r="G9" s="112">
        <f>Data!C253</f>
        <v>2011</v>
      </c>
      <c r="H9" s="113">
        <f>Data!D253</f>
        <v>8867</v>
      </c>
      <c r="I9" s="113">
        <f>IF(Measurement=2,Data!E253,Data!E253/0.748)</f>
        <v>5117998.6631016042</v>
      </c>
      <c r="J9" s="114">
        <f>I9/H9/4</f>
        <v>144.29904880742089</v>
      </c>
      <c r="K9" s="115">
        <f>H9-H8</f>
        <v>-6</v>
      </c>
      <c r="M9" s="116"/>
    </row>
    <row r="10" spans="1:13" s="28" customFormat="1" ht="12.75">
      <c r="A10" s="112">
        <f>Data!C248</f>
        <v>2012</v>
      </c>
      <c r="B10" s="113">
        <f>Data!D248</f>
        <v>56739</v>
      </c>
      <c r="C10" s="113">
        <f>IF(Measurement=2,Data!E248,Data!E248/0.748)</f>
        <v>4473796.7914438499</v>
      </c>
      <c r="D10" s="114">
        <f>C10/B10/4</f>
        <v>19.712176771902264</v>
      </c>
      <c r="E10" s="115">
        <f>B10-B9</f>
        <v>198</v>
      </c>
      <c r="F10" s="117"/>
      <c r="G10" s="112">
        <f>Data!C254</f>
        <v>2012</v>
      </c>
      <c r="H10" s="113">
        <f>Data!D254</f>
        <v>8873</v>
      </c>
      <c r="I10" s="113">
        <f>IF(Measurement=2,Data!E254,Data!E254/0.748)</f>
        <v>5259129.6791443853</v>
      </c>
      <c r="J10" s="114">
        <f>I10/H10/4</f>
        <v>148.17789020467669</v>
      </c>
      <c r="K10" s="115">
        <f>H10-H9</f>
        <v>6</v>
      </c>
    </row>
    <row r="11" spans="1:13" s="28" customFormat="1" ht="12.75">
      <c r="A11" s="112">
        <f>Data!C249</f>
        <v>2013</v>
      </c>
      <c r="B11" s="113">
        <f>Data!D249</f>
        <v>56980</v>
      </c>
      <c r="C11" s="113">
        <f>IF(Measurement=2,Data!E249,Data!E249/0.748)</f>
        <v>3902037.4331550803</v>
      </c>
      <c r="D11" s="114">
        <f>C11/B11/4</f>
        <v>17.120206358174272</v>
      </c>
      <c r="E11" s="115">
        <f>B11-B10</f>
        <v>241</v>
      </c>
      <c r="F11" s="117"/>
      <c r="G11" s="112">
        <f>Data!C255</f>
        <v>2013</v>
      </c>
      <c r="H11" s="113">
        <f>Data!D255</f>
        <v>4773</v>
      </c>
      <c r="I11" s="113">
        <f>IF(Measurement=2,Data!E255,Data!E255/0.748)</f>
        <v>2411659.0909090908</v>
      </c>
      <c r="J11" s="114">
        <f>I11/H11/4</f>
        <v>126.31778184103766</v>
      </c>
      <c r="K11" s="115">
        <f>H11-H10</f>
        <v>-4100</v>
      </c>
    </row>
    <row r="12" spans="1:13" s="28" customFormat="1" ht="12.75">
      <c r="A12" s="112">
        <f>Data!C250</f>
        <v>2014</v>
      </c>
      <c r="B12" s="113">
        <v>57116</v>
      </c>
      <c r="C12" s="113">
        <v>3928789</v>
      </c>
      <c r="D12" s="114">
        <f>C12/B12/4</f>
        <v>17.196534246095666</v>
      </c>
      <c r="E12" s="115">
        <f>B12-B11</f>
        <v>136</v>
      </c>
      <c r="F12" s="117"/>
      <c r="G12" s="112">
        <f>Data!C256</f>
        <v>2014</v>
      </c>
      <c r="H12" s="113">
        <v>4795</v>
      </c>
      <c r="I12" s="113">
        <v>2378732</v>
      </c>
      <c r="J12" s="114">
        <f>I12/H12/4</f>
        <v>124.02148070907195</v>
      </c>
      <c r="K12" s="115">
        <f>H12-H11</f>
        <v>22</v>
      </c>
    </row>
    <row r="13" spans="1:13" s="28" customFormat="1" ht="12.75">
      <c r="A13" s="112">
        <f>Data!C251</f>
        <v>2015</v>
      </c>
      <c r="B13" s="113">
        <v>57316</v>
      </c>
      <c r="C13" s="113">
        <v>3927890.2115897774</v>
      </c>
      <c r="D13" s="114">
        <f>IF(ISERROR(C13/B13/4),0,C13/B13/4)</f>
        <v>17.132607873847519</v>
      </c>
      <c r="E13" s="115">
        <f>B13-B12</f>
        <v>200</v>
      </c>
      <c r="F13" s="117"/>
      <c r="G13" s="112">
        <f>Data!C257</f>
        <v>2015</v>
      </c>
      <c r="H13" s="113">
        <v>4795</v>
      </c>
      <c r="I13" s="113">
        <v>2378732</v>
      </c>
      <c r="J13" s="114">
        <f>IF(ISERROR(I13/H13/4),0,(I13/H13/4))</f>
        <v>124.02148070907195</v>
      </c>
      <c r="K13" s="115">
        <f>H13-H12</f>
        <v>0</v>
      </c>
    </row>
    <row r="14" spans="1:13" s="28" customFormat="1" ht="12.75">
      <c r="A14" s="116"/>
      <c r="B14" s="116"/>
      <c r="C14" s="116"/>
      <c r="D14" s="116"/>
      <c r="E14" s="118"/>
      <c r="F14" s="116"/>
      <c r="G14" s="116"/>
      <c r="H14" s="116"/>
      <c r="J14" s="116"/>
      <c r="K14" s="118"/>
    </row>
    <row r="15" spans="1:13" s="28" customFormat="1" ht="12.75">
      <c r="A15" s="119" t="s">
        <v>287</v>
      </c>
      <c r="B15" s="116"/>
      <c r="C15" s="116"/>
      <c r="D15" s="116"/>
      <c r="E15" s="118"/>
      <c r="F15" s="116"/>
      <c r="G15" s="119" t="s">
        <v>287</v>
      </c>
      <c r="H15" s="116"/>
      <c r="I15" s="116"/>
      <c r="J15" s="116"/>
      <c r="K15" s="118"/>
    </row>
    <row r="16" spans="1:13" s="28" customFormat="1" ht="12.75">
      <c r="A16" s="119" t="s">
        <v>288</v>
      </c>
      <c r="B16" s="113">
        <f>IF(B12=0,AVERAGE(B8:B11),AVERAGE(B8:B12))</f>
        <v>56744.4</v>
      </c>
      <c r="C16" s="113">
        <f>IF(C$12=0,AVERAGE(C8:C$11),AVERAGE(C8:C$12))</f>
        <v>4111244.4310160428</v>
      </c>
      <c r="D16" s="114">
        <f>C16/B16/4</f>
        <v>18.112996308957548</v>
      </c>
      <c r="E16" s="114">
        <v>0</v>
      </c>
      <c r="F16" s="117"/>
      <c r="G16" s="119" t="s">
        <v>288</v>
      </c>
      <c r="H16" s="113">
        <f>IF(H$12=0,AVERAGE(H8:H$11),AVERAGE(H8:H$12))</f>
        <v>7236.2</v>
      </c>
      <c r="I16" s="113">
        <f>IF(I$12=0,AVERAGE(I8:I$11),AVERAGE(I8:I$12))</f>
        <v>4070956.827807487</v>
      </c>
      <c r="J16" s="114">
        <f>I16/H16/4</f>
        <v>140.6455331461087</v>
      </c>
      <c r="K16" s="114">
        <v>0</v>
      </c>
    </row>
    <row r="17" spans="1:16" s="28" customFormat="1" ht="12.75">
      <c r="A17" s="119" t="s">
        <v>289</v>
      </c>
      <c r="B17" s="113">
        <f>IF(B$12=0,AVERAGE(B9:B$11),AVERAGE(B9:B$12))</f>
        <v>56844</v>
      </c>
      <c r="C17" s="113">
        <f>IF(C$12=0,AVERAGE(C9:C$11),AVERAGE(C9:C$12))</f>
        <v>4111236.0200534756</v>
      </c>
      <c r="D17" s="114">
        <f>C17/B17/4</f>
        <v>18.081222380785462</v>
      </c>
      <c r="E17" s="114">
        <f>AVERAGE(E9:E12)</f>
        <v>192.5</v>
      </c>
      <c r="F17" s="117"/>
      <c r="G17" s="119" t="s">
        <v>289</v>
      </c>
      <c r="H17" s="113">
        <f>IF(H$12=0,AVERAGE(H9:H$11),AVERAGE(H9:H$12))</f>
        <v>6827</v>
      </c>
      <c r="I17" s="113">
        <f>IF(I$12=0,AVERAGE(I9:I$11),AVERAGE(I9:I$12))</f>
        <v>3791879.8582887696</v>
      </c>
      <c r="J17" s="114">
        <f>I17/H17/4</f>
        <v>138.85600770062874</v>
      </c>
      <c r="K17" s="114">
        <f>AVERAGE(K9:K12)</f>
        <v>-1019.5</v>
      </c>
    </row>
    <row r="18" spans="1:16" s="28" customFormat="1" ht="12.75">
      <c r="A18" s="119" t="s">
        <v>290</v>
      </c>
      <c r="B18" s="113">
        <f>IF(B$12=0,AVERAGE(B10:B$11),AVERAGE(B10:B$12))</f>
        <v>56945</v>
      </c>
      <c r="C18" s="113">
        <f>IF(C$12=0,AVERAGE(C10:C$11),AVERAGE(C10:C$12))</f>
        <v>4101541.0748663098</v>
      </c>
      <c r="D18" s="114">
        <f>C18/B18/4</f>
        <v>18.006590020486037</v>
      </c>
      <c r="E18" s="114">
        <f>AVERAGE(E10:E12)</f>
        <v>191.66666666666666</v>
      </c>
      <c r="F18" s="117"/>
      <c r="G18" s="119" t="s">
        <v>290</v>
      </c>
      <c r="H18" s="113">
        <f>IF(H$12=0,AVERAGE(H10:H$11),AVERAGE(H10:H$12))</f>
        <v>6147</v>
      </c>
      <c r="I18" s="113">
        <f>IF(I$12=0,AVERAGE(I10:I$11),AVERAGE(I10:I$12))</f>
        <v>3349840.2566844919</v>
      </c>
      <c r="J18" s="114">
        <f>I18/H18/4</f>
        <v>136.23882612186807</v>
      </c>
      <c r="K18" s="114">
        <f>AVERAGE(K10:K12)</f>
        <v>-1357.3333333333333</v>
      </c>
    </row>
    <row r="19" spans="1:16" s="28" customFormat="1" ht="12.75">
      <c r="A19" s="119" t="s">
        <v>291</v>
      </c>
      <c r="B19" s="113">
        <f>IF(B$12=0,AVERAGE(B11:B$11),AVERAGE(B11:B$12))</f>
        <v>57048</v>
      </c>
      <c r="C19" s="113">
        <f>IF(C$12=0,AVERAGE(C11:C$11),AVERAGE(C11:C$12))</f>
        <v>3915413.2165775402</v>
      </c>
      <c r="D19" s="114">
        <f>C19/B19/4</f>
        <v>17.158415792742691</v>
      </c>
      <c r="E19" s="114">
        <f>AVERAGE(E11:E12)</f>
        <v>188.5</v>
      </c>
      <c r="F19" s="117"/>
      <c r="G19" s="119" t="s">
        <v>291</v>
      </c>
      <c r="H19" s="113">
        <f>IF(H$12=0,AVERAGE(H11:H$11),AVERAGE(H11:H$12))</f>
        <v>4784</v>
      </c>
      <c r="I19" s="113">
        <f>IF(I$12=0,AVERAGE(I11:I$11),AVERAGE(I11:I$12))</f>
        <v>2395195.5454545454</v>
      </c>
      <c r="J19" s="114">
        <f>I19/H19/4</f>
        <v>125.16699129674673</v>
      </c>
      <c r="K19" s="114">
        <f>AVERAGE(K11:K12)</f>
        <v>-2039</v>
      </c>
      <c r="P19" s="112"/>
    </row>
    <row r="20" spans="1:16" s="28" customFormat="1" ht="12.75">
      <c r="A20" s="119">
        <f>A12</f>
        <v>2014</v>
      </c>
      <c r="B20" s="113">
        <f>IF(B$12=0,0,B12)</f>
        <v>57116</v>
      </c>
      <c r="C20" s="113">
        <f>IF(C$12=0,0,C12)</f>
        <v>3928789</v>
      </c>
      <c r="D20" s="114">
        <f>C20/B20/4</f>
        <v>17.196534246095666</v>
      </c>
      <c r="E20" s="114">
        <f>E12</f>
        <v>136</v>
      </c>
      <c r="F20" s="117"/>
      <c r="G20" s="119">
        <f>G12</f>
        <v>2014</v>
      </c>
      <c r="H20" s="113">
        <f>IF(H$12=0,0,H12)</f>
        <v>4795</v>
      </c>
      <c r="I20" s="113">
        <f>IF(I$12=0,0,I12)</f>
        <v>2378732</v>
      </c>
      <c r="J20" s="114">
        <f>I20/H20/4</f>
        <v>124.02148070907195</v>
      </c>
      <c r="K20" s="114">
        <f>K12</f>
        <v>22</v>
      </c>
    </row>
    <row r="21" spans="1:16" s="28" customFormat="1" ht="12.75">
      <c r="A21" s="120"/>
      <c r="B21" s="120"/>
      <c r="C21" s="120"/>
      <c r="D21" s="120"/>
      <c r="E21" s="120"/>
      <c r="F21" s="120"/>
      <c r="G21" s="120"/>
      <c r="H21" s="120"/>
      <c r="I21" s="120"/>
      <c r="J21" s="120"/>
      <c r="K21" s="120"/>
    </row>
    <row r="22" spans="1:16" s="28" customFormat="1" ht="12.75">
      <c r="A22" s="120"/>
      <c r="B22" s="120"/>
      <c r="C22" s="120"/>
      <c r="D22" s="120"/>
      <c r="E22" s="120"/>
      <c r="F22" s="120"/>
      <c r="G22" s="120"/>
      <c r="H22" s="120"/>
      <c r="I22" s="120"/>
      <c r="J22" s="120"/>
      <c r="K22" s="120"/>
    </row>
    <row r="23" spans="1:16" s="28" customFormat="1" ht="12.75">
      <c r="A23" s="1934" t="s">
        <v>938</v>
      </c>
      <c r="B23" s="1935"/>
      <c r="C23" s="1935"/>
      <c r="D23" s="1935"/>
      <c r="E23" s="1935"/>
      <c r="F23" s="120"/>
      <c r="G23" s="1934" t="s">
        <v>11</v>
      </c>
      <c r="H23" s="1935"/>
      <c r="I23" s="1935"/>
      <c r="J23" s="1935"/>
      <c r="K23" s="1935"/>
    </row>
    <row r="24" spans="1:16" s="28" customFormat="1" ht="12.75">
      <c r="A24" s="109"/>
      <c r="B24" s="109" t="s">
        <v>280</v>
      </c>
      <c r="C24" s="109" t="s">
        <v>281</v>
      </c>
      <c r="D24" s="109" t="s">
        <v>282</v>
      </c>
      <c r="E24" s="109" t="s">
        <v>283</v>
      </c>
      <c r="F24" s="109"/>
      <c r="G24" s="109"/>
      <c r="H24" s="109" t="s">
        <v>280</v>
      </c>
      <c r="I24" s="109" t="s">
        <v>281</v>
      </c>
      <c r="J24" s="109" t="s">
        <v>282</v>
      </c>
      <c r="K24" s="109" t="s">
        <v>283</v>
      </c>
    </row>
    <row r="25" spans="1:16" s="28" customFormat="1" ht="12.75">
      <c r="A25" s="111" t="s">
        <v>284</v>
      </c>
      <c r="B25" s="111" t="s">
        <v>285</v>
      </c>
      <c r="C25" s="111" t="str">
        <f>C7</f>
        <v>(Ccf's)</v>
      </c>
      <c r="D25" s="111" t="str">
        <f>C43</f>
        <v>(Ccf's)</v>
      </c>
      <c r="E25" s="111" t="s">
        <v>286</v>
      </c>
      <c r="F25" s="109"/>
      <c r="G25" s="111" t="s">
        <v>284</v>
      </c>
      <c r="H25" s="111" t="s">
        <v>285</v>
      </c>
      <c r="I25" s="111" t="str">
        <f>I43</f>
        <v>(Ccf's)</v>
      </c>
      <c r="J25" s="111" t="str">
        <f>I43</f>
        <v>(Ccf's)</v>
      </c>
      <c r="K25" s="111" t="s">
        <v>286</v>
      </c>
    </row>
    <row r="26" spans="1:16" s="28" customFormat="1" ht="12.75">
      <c r="A26" s="38"/>
      <c r="B26" s="38"/>
      <c r="C26" s="38"/>
      <c r="D26" s="114" t="e">
        <f>C26/B26/4</f>
        <v>#DIV/0!</v>
      </c>
      <c r="E26" s="115">
        <v>0</v>
      </c>
      <c r="F26" s="120"/>
      <c r="G26" s="112">
        <f>Data!C264</f>
        <v>2010</v>
      </c>
      <c r="H26" s="113">
        <f>Data!D264</f>
        <v>490</v>
      </c>
      <c r="I26" s="113">
        <f>IF(Measurement=2,Data!E264,Data!E264/0.748)</f>
        <v>1738573.5294117648</v>
      </c>
      <c r="J26" s="114">
        <f>I26/H26/4</f>
        <v>887.02731092436977</v>
      </c>
      <c r="K26" s="115">
        <v>0</v>
      </c>
    </row>
    <row r="27" spans="1:16" s="28" customFormat="1" ht="12.75">
      <c r="A27" s="38"/>
      <c r="B27" s="38"/>
      <c r="C27" s="38"/>
      <c r="D27" s="114" t="e">
        <f>C27/B27/4</f>
        <v>#DIV/0!</v>
      </c>
      <c r="E27" s="115">
        <f>B27-B26</f>
        <v>0</v>
      </c>
      <c r="F27" s="120"/>
      <c r="G27" s="112">
        <f>Data!C265</f>
        <v>2011</v>
      </c>
      <c r="H27" s="113">
        <f>Data!D265</f>
        <v>487</v>
      </c>
      <c r="I27" s="113">
        <f>IF(Measurement=2,Data!E265,Data!E265/0.748)</f>
        <v>1730423.7967914438</v>
      </c>
      <c r="J27" s="114">
        <f>I27/H27/4</f>
        <v>888.30790389704509</v>
      </c>
      <c r="K27" s="115">
        <f>H27-H26</f>
        <v>-3</v>
      </c>
    </row>
    <row r="28" spans="1:16" s="28" customFormat="1" ht="12.75">
      <c r="A28" s="38"/>
      <c r="B28" s="38"/>
      <c r="C28" s="38"/>
      <c r="D28" s="114" t="e">
        <f>C28/B28/4</f>
        <v>#DIV/0!</v>
      </c>
      <c r="E28" s="115">
        <f>B28-B27</f>
        <v>0</v>
      </c>
      <c r="F28" s="120"/>
      <c r="G28" s="112">
        <f>Data!C266</f>
        <v>2012</v>
      </c>
      <c r="H28" s="113">
        <f>Data!D266</f>
        <v>486</v>
      </c>
      <c r="I28" s="113">
        <f>IF(Measurement=2,Data!E266,Data!E266/0.748)</f>
        <v>1964760.6951871659</v>
      </c>
      <c r="J28" s="114">
        <f>I28/H28/4</f>
        <v>1010.6793699522458</v>
      </c>
      <c r="K28" s="115">
        <f>H28-H27</f>
        <v>-1</v>
      </c>
    </row>
    <row r="29" spans="1:16" s="28" customFormat="1" ht="12.75">
      <c r="A29" s="1836">
        <v>2013</v>
      </c>
      <c r="B29" s="1837">
        <v>4129</v>
      </c>
      <c r="C29" s="1837">
        <v>2606811</v>
      </c>
      <c r="D29" s="114">
        <f>C29/B29/4</f>
        <v>157.83549285541292</v>
      </c>
      <c r="E29" s="115">
        <f>B29-B28</f>
        <v>4129</v>
      </c>
      <c r="F29" s="120"/>
      <c r="G29" s="112">
        <f>Data!C267</f>
        <v>2013</v>
      </c>
      <c r="H29" s="113">
        <f>Data!D267</f>
        <v>486</v>
      </c>
      <c r="I29" s="113">
        <f>IF(Measurement=2,Data!E267,Data!E267/0.748)</f>
        <v>1923370.320855615</v>
      </c>
      <c r="J29" s="114">
        <f>I29/H29/4</f>
        <v>989.38802513148914</v>
      </c>
      <c r="K29" s="115">
        <f>H29-H28</f>
        <v>0</v>
      </c>
    </row>
    <row r="30" spans="1:16" s="28" customFormat="1" ht="12.75">
      <c r="A30" s="1836">
        <v>2014</v>
      </c>
      <c r="B30" s="1837">
        <v>4125</v>
      </c>
      <c r="C30" s="1837">
        <v>2618534</v>
      </c>
      <c r="D30" s="114">
        <f>C30/B30/4</f>
        <v>158.6990303030303</v>
      </c>
      <c r="E30" s="115">
        <f>B30-B29</f>
        <v>-4</v>
      </c>
      <c r="F30" s="120"/>
      <c r="G30" s="112">
        <f>Data!C268</f>
        <v>2014</v>
      </c>
      <c r="H30" s="113">
        <v>486</v>
      </c>
      <c r="I30" s="113">
        <v>1787182</v>
      </c>
      <c r="J30" s="114">
        <f>I30/H30/4</f>
        <v>919.332304526749</v>
      </c>
      <c r="K30" s="115">
        <f>H30-H29</f>
        <v>0</v>
      </c>
    </row>
    <row r="31" spans="1:16" s="28" customFormat="1" ht="12.75">
      <c r="A31" s="1836">
        <v>2015</v>
      </c>
      <c r="B31" s="1837">
        <v>4125</v>
      </c>
      <c r="C31" s="1837">
        <v>2611406.6121238898</v>
      </c>
      <c r="D31" s="114">
        <f>IF(ISERROR(C31/B31/4),0,C31/B31/4)</f>
        <v>158.26706740144786</v>
      </c>
      <c r="E31" s="115">
        <f>B31-B30</f>
        <v>0</v>
      </c>
      <c r="F31" s="120"/>
      <c r="G31" s="112">
        <f>Data!C269</f>
        <v>2015</v>
      </c>
      <c r="H31" s="113">
        <v>486</v>
      </c>
      <c r="I31" s="113">
        <v>1855276.1604278074</v>
      </c>
      <c r="J31" s="114">
        <f>IF(ISERROR(I31/H31/4),0,I31/H31/4)</f>
        <v>954.36016482911907</v>
      </c>
      <c r="K31" s="115">
        <f>H31-H30</f>
        <v>0</v>
      </c>
    </row>
    <row r="32" spans="1:16" s="28" customFormat="1" ht="12.75">
      <c r="F32" s="120"/>
      <c r="G32" s="116"/>
      <c r="H32" s="116"/>
      <c r="I32" s="116"/>
      <c r="J32" s="116"/>
      <c r="K32" s="121"/>
    </row>
    <row r="33" spans="1:11" s="28" customFormat="1" ht="12.75">
      <c r="A33" s="119" t="s">
        <v>287</v>
      </c>
      <c r="F33" s="120"/>
      <c r="G33" s="119" t="s">
        <v>287</v>
      </c>
      <c r="H33" s="116"/>
      <c r="I33" s="116"/>
      <c r="J33" s="116"/>
      <c r="K33" s="121"/>
    </row>
    <row r="34" spans="1:11" s="28" customFormat="1" ht="12.75">
      <c r="A34" s="119" t="s">
        <v>288</v>
      </c>
      <c r="B34" s="113">
        <f>IF(B$30=0,AVERAGE(B26:B$29),AVERAGE(B26:B$30))</f>
        <v>4127</v>
      </c>
      <c r="C34" s="113">
        <f>IF(C$30=0,AVERAGE(C26:C$29),AVERAGE(C26:C$30))</f>
        <v>2612672.5</v>
      </c>
      <c r="D34" s="114">
        <f>C34/B34/4</f>
        <v>158.26705233826024</v>
      </c>
      <c r="E34" s="114">
        <v>0</v>
      </c>
      <c r="F34" s="120"/>
      <c r="G34" s="119" t="s">
        <v>288</v>
      </c>
      <c r="H34" s="113">
        <f>IF(H$30=0,AVERAGE(H26:H$29),AVERAGE(H26:H$30))</f>
        <v>487</v>
      </c>
      <c r="I34" s="113">
        <f>IF(I$30=0,AVERAGE(I26:I$29),AVERAGE(I26:I$30))</f>
        <v>1828862.0684491978</v>
      </c>
      <c r="J34" s="114">
        <f>I34/H34/4</f>
        <v>938.84089756118988</v>
      </c>
      <c r="K34" s="114">
        <v>0</v>
      </c>
    </row>
    <row r="35" spans="1:11" s="28" customFormat="1" ht="12.75">
      <c r="A35" s="119" t="s">
        <v>289</v>
      </c>
      <c r="B35" s="113">
        <f>IF(B$30=0,AVERAGE(B27:B$29),AVERAGE(B27:B$30))</f>
        <v>4127</v>
      </c>
      <c r="C35" s="113">
        <f>IF(C$30=0,AVERAGE(C27:C$29),AVERAGE(C27:C$30))</f>
        <v>2612672.5</v>
      </c>
      <c r="D35" s="114">
        <f>C35/B35/4</f>
        <v>158.26705233826024</v>
      </c>
      <c r="E35" s="114">
        <f>AVERAGE(E27:E30)</f>
        <v>1031.25</v>
      </c>
      <c r="F35" s="120"/>
      <c r="G35" s="119" t="s">
        <v>289</v>
      </c>
      <c r="H35" s="113">
        <f>IF(H$30=0,AVERAGE(H27:H$29),AVERAGE(H27:H$30))</f>
        <v>486.25</v>
      </c>
      <c r="I35" s="113">
        <f>IF(I$30=0,AVERAGE(I27:I$29),AVERAGE(I27:I$30))</f>
        <v>1851434.2032085562</v>
      </c>
      <c r="J35" s="114">
        <f>I35/H35/4</f>
        <v>951.89419188100578</v>
      </c>
      <c r="K35" s="114">
        <f>AVERAGE(K27:K30)</f>
        <v>-1</v>
      </c>
    </row>
    <row r="36" spans="1:11" s="28" customFormat="1" ht="12.75">
      <c r="A36" s="119" t="s">
        <v>290</v>
      </c>
      <c r="B36" s="113">
        <f>IF(B$30=0,AVERAGE(B28:B$29),AVERAGE(B28:B$30))</f>
        <v>4127</v>
      </c>
      <c r="C36" s="113">
        <f>IF(C$30=0,AVERAGE(C28:C$29),AVERAGE(C28:C$30))</f>
        <v>2612672.5</v>
      </c>
      <c r="D36" s="114">
        <f>C36/B36/4</f>
        <v>158.26705233826024</v>
      </c>
      <c r="E36" s="114">
        <f>AVERAGE(E28:E30)</f>
        <v>1375</v>
      </c>
      <c r="F36" s="120"/>
      <c r="G36" s="119" t="s">
        <v>290</v>
      </c>
      <c r="H36" s="113">
        <f>IF(H$30=0,AVERAGE(H28:H$29),AVERAGE(H28:H$30))</f>
        <v>486</v>
      </c>
      <c r="I36" s="113">
        <f>IF(I$30=0,AVERAGE(I28:I$29),AVERAGE(I28:I$30))</f>
        <v>1891771.0053475937</v>
      </c>
      <c r="J36" s="114">
        <f>I36/H36/4</f>
        <v>973.13323320349468</v>
      </c>
      <c r="K36" s="114">
        <f>AVERAGE(K28:K30)</f>
        <v>-0.33333333333333331</v>
      </c>
    </row>
    <row r="37" spans="1:11" s="28" customFormat="1" ht="12.75">
      <c r="A37" s="119" t="s">
        <v>291</v>
      </c>
      <c r="B37" s="113">
        <f>IF(B$30=0,AVERAGE(B29:B$29),AVERAGE(B29:B$30))</f>
        <v>4127</v>
      </c>
      <c r="C37" s="113">
        <f>IF(C$30=0,AVERAGE(C29:C$29),AVERAGE(C29:C$30))</f>
        <v>2612672.5</v>
      </c>
      <c r="D37" s="114">
        <f>C37/B37/4</f>
        <v>158.26705233826024</v>
      </c>
      <c r="E37" s="114">
        <f>AVERAGE(E29:E30)</f>
        <v>2062.5</v>
      </c>
      <c r="F37" s="120"/>
      <c r="G37" s="119" t="s">
        <v>291</v>
      </c>
      <c r="H37" s="113">
        <f>IF(H$30=0,AVERAGE(H29:H$29),AVERAGE(H29:H$30))</f>
        <v>486</v>
      </c>
      <c r="I37" s="113">
        <f>IF(I$30=0,AVERAGE(I29:I$29),AVERAGE(I29:I$30))</f>
        <v>1855276.1604278074</v>
      </c>
      <c r="J37" s="114">
        <f>I37/H37/4</f>
        <v>954.36016482911907</v>
      </c>
      <c r="K37" s="114">
        <f>AVERAGE(K29:K30)</f>
        <v>0</v>
      </c>
    </row>
    <row r="38" spans="1:11" s="28" customFormat="1" ht="12.75">
      <c r="A38" s="119">
        <f>A30</f>
        <v>2014</v>
      </c>
      <c r="B38" s="113">
        <f>B30</f>
        <v>4125</v>
      </c>
      <c r="C38" s="113">
        <f>C30</f>
        <v>2618534</v>
      </c>
      <c r="D38" s="114">
        <f>C38/B38/4</f>
        <v>158.6990303030303</v>
      </c>
      <c r="E38" s="114">
        <f>E30</f>
        <v>-4</v>
      </c>
      <c r="F38" s="120"/>
      <c r="G38" s="119">
        <f>G30</f>
        <v>2014</v>
      </c>
      <c r="H38" s="113">
        <f>H30</f>
        <v>486</v>
      </c>
      <c r="I38" s="113">
        <f>I30</f>
        <v>1787182</v>
      </c>
      <c r="J38" s="114">
        <f>I38/H38/4</f>
        <v>919.332304526749</v>
      </c>
      <c r="K38" s="114">
        <f>K30</f>
        <v>0</v>
      </c>
    </row>
    <row r="39" spans="1:11" s="28" customFormat="1" ht="12.75">
      <c r="A39" s="120"/>
      <c r="B39" s="120"/>
      <c r="C39" s="120"/>
      <c r="D39" s="120"/>
      <c r="E39" s="120"/>
      <c r="F39" s="120"/>
      <c r="G39" s="120"/>
      <c r="H39" s="120"/>
      <c r="I39" s="120"/>
      <c r="J39" s="120"/>
      <c r="K39" s="120"/>
    </row>
    <row r="40" spans="1:11" s="28" customFormat="1" ht="12.75">
      <c r="A40" s="120"/>
      <c r="B40" s="120"/>
      <c r="C40" s="120"/>
      <c r="D40" s="120"/>
      <c r="E40" s="120"/>
      <c r="F40" s="120"/>
      <c r="G40" s="120"/>
      <c r="H40" s="120"/>
      <c r="I40" s="120"/>
      <c r="J40" s="120"/>
      <c r="K40" s="120"/>
    </row>
    <row r="41" spans="1:11" s="28" customFormat="1" ht="12.75">
      <c r="A41" s="1934" t="s">
        <v>908</v>
      </c>
      <c r="B41" s="1935"/>
      <c r="C41" s="1935"/>
      <c r="D41" s="1935"/>
      <c r="E41" s="1935"/>
      <c r="F41" s="120"/>
      <c r="G41" s="1934" t="s">
        <v>10</v>
      </c>
      <c r="H41" s="1935"/>
      <c r="I41" s="1935"/>
      <c r="J41" s="1935"/>
      <c r="K41" s="1935"/>
    </row>
    <row r="42" spans="1:11" s="28" customFormat="1" ht="12.75">
      <c r="A42" s="109"/>
      <c r="B42" s="109" t="s">
        <v>280</v>
      </c>
      <c r="C42" s="109" t="s">
        <v>281</v>
      </c>
      <c r="D42" s="109" t="s">
        <v>282</v>
      </c>
      <c r="E42" s="109" t="s">
        <v>283</v>
      </c>
      <c r="F42" s="120"/>
      <c r="G42" s="109"/>
      <c r="H42" s="109" t="s">
        <v>280</v>
      </c>
      <c r="I42" s="109" t="s">
        <v>281</v>
      </c>
      <c r="J42" s="109" t="s">
        <v>282</v>
      </c>
      <c r="K42" s="109" t="s">
        <v>283</v>
      </c>
    </row>
    <row r="43" spans="1:11">
      <c r="A43" s="111" t="s">
        <v>284</v>
      </c>
      <c r="B43" s="111" t="s">
        <v>285</v>
      </c>
      <c r="C43" s="111" t="str">
        <f>C25</f>
        <v>(Ccf's)</v>
      </c>
      <c r="D43" s="111" t="str">
        <f>D25</f>
        <v>(Ccf's)</v>
      </c>
      <c r="E43" s="111" t="s">
        <v>286</v>
      </c>
      <c r="G43" s="110" t="s">
        <v>284</v>
      </c>
      <c r="H43" s="110" t="s">
        <v>285</v>
      </c>
      <c r="I43" s="110" t="str">
        <f>C7</f>
        <v>(Ccf's)</v>
      </c>
      <c r="J43" s="110" t="str">
        <f>I43</f>
        <v>(Ccf's)</v>
      </c>
      <c r="K43" s="110" t="s">
        <v>286</v>
      </c>
    </row>
    <row r="44" spans="1:11">
      <c r="A44" s="1838"/>
      <c r="B44" s="1838"/>
      <c r="C44" s="1838"/>
      <c r="D44" s="114" t="e">
        <f>C44/B44/4</f>
        <v>#DIV/0!</v>
      </c>
      <c r="E44" s="115">
        <v>0</v>
      </c>
      <c r="G44" s="112">
        <f>Data!C258</f>
        <v>2010</v>
      </c>
      <c r="H44" s="113">
        <f>Data!D258</f>
        <v>51</v>
      </c>
      <c r="I44" s="113">
        <f>IF(Measurement=2,Data!E258,Data!E258/0.748)</f>
        <v>1023799.4652406417</v>
      </c>
      <c r="J44" s="114">
        <f>I44/H44/4</f>
        <v>5018.6248296109889</v>
      </c>
      <c r="K44" s="115">
        <v>0</v>
      </c>
    </row>
    <row r="45" spans="1:11">
      <c r="A45" s="1838"/>
      <c r="B45" s="1838"/>
      <c r="C45" s="1838"/>
      <c r="D45" s="114" t="e">
        <f>C45/B45/4</f>
        <v>#DIV/0!</v>
      </c>
      <c r="E45" s="115">
        <f>B45-B44</f>
        <v>0</v>
      </c>
      <c r="G45" s="112">
        <f>Data!C259</f>
        <v>2011</v>
      </c>
      <c r="H45" s="113">
        <f>Data!D259</f>
        <v>48</v>
      </c>
      <c r="I45" s="113">
        <f>IF(Measurement=2,Data!E259,Data!E259/0.748)</f>
        <v>975080.21390374331</v>
      </c>
      <c r="J45" s="114">
        <f>I45/H45/4</f>
        <v>5078.5427807486631</v>
      </c>
      <c r="K45" s="115">
        <f>H45-H44</f>
        <v>-3</v>
      </c>
    </row>
    <row r="46" spans="1:11">
      <c r="A46" s="1838"/>
      <c r="B46" s="1838"/>
      <c r="C46" s="1838"/>
      <c r="D46" s="114" t="e">
        <f>C46/B46/4</f>
        <v>#DIV/0!</v>
      </c>
      <c r="E46" s="115">
        <f>B46-B45</f>
        <v>0</v>
      </c>
      <c r="G46" s="112">
        <f>Data!C260</f>
        <v>2012</v>
      </c>
      <c r="H46" s="113">
        <f>Data!D260</f>
        <v>48</v>
      </c>
      <c r="I46" s="113">
        <f>IF(Measurement=2,Data!E260,Data!E260/0.748)</f>
        <v>812522.72727272729</v>
      </c>
      <c r="J46" s="114">
        <f>I46/H46/4</f>
        <v>4231.889204545455</v>
      </c>
      <c r="K46" s="115">
        <f>H46-H45</f>
        <v>0</v>
      </c>
    </row>
    <row r="47" spans="1:11">
      <c r="A47" s="1838"/>
      <c r="B47" s="1838"/>
      <c r="C47" s="1838"/>
      <c r="D47" s="114" t="e">
        <f>C47/B47/4</f>
        <v>#DIV/0!</v>
      </c>
      <c r="E47" s="115">
        <f>B47-B46</f>
        <v>0</v>
      </c>
      <c r="G47" s="112">
        <f>Data!C261</f>
        <v>2013</v>
      </c>
      <c r="H47" s="113">
        <f>Data!D261</f>
        <v>48</v>
      </c>
      <c r="I47" s="113">
        <f>IF(Measurement=2,Data!E261,Data!E261/0.748)</f>
        <v>769568.18181818177</v>
      </c>
      <c r="J47" s="114">
        <f>I47/H47/4</f>
        <v>4008.1676136363635</v>
      </c>
      <c r="K47" s="115">
        <f>H47-H46</f>
        <v>0</v>
      </c>
    </row>
    <row r="48" spans="1:11">
      <c r="A48" s="1838"/>
      <c r="B48" s="1838"/>
      <c r="C48" s="1838"/>
      <c r="D48" s="114" t="e">
        <f>C48/B48/4</f>
        <v>#DIV/0!</v>
      </c>
      <c r="E48" s="115">
        <f>B48-B47</f>
        <v>0</v>
      </c>
      <c r="G48" s="112">
        <f>Data!C262</f>
        <v>2014</v>
      </c>
      <c r="H48" s="113">
        <v>48</v>
      </c>
      <c r="I48" s="113">
        <v>771262</v>
      </c>
      <c r="J48" s="114">
        <f>I48/H48/4</f>
        <v>4016.9895833333335</v>
      </c>
      <c r="K48" s="115">
        <f>H48-H47</f>
        <v>0</v>
      </c>
    </row>
    <row r="49" spans="1:11">
      <c r="A49" s="1838"/>
      <c r="B49" s="1838"/>
      <c r="C49" s="1838"/>
      <c r="D49" s="114">
        <f>IF(ISERROR(C49/B49/4),0,C49/B49/4)</f>
        <v>0</v>
      </c>
      <c r="E49" s="115">
        <f>B49-B48</f>
        <v>0</v>
      </c>
      <c r="G49" s="112">
        <f>Data!C263</f>
        <v>2015</v>
      </c>
      <c r="H49" s="113">
        <v>48</v>
      </c>
      <c r="I49" s="113">
        <v>770415.09090909082</v>
      </c>
      <c r="J49" s="114">
        <f>IF(ISERROR(I49/H49/4),0,I49/H49/4)</f>
        <v>4012.578598484848</v>
      </c>
      <c r="K49" s="115">
        <f>H49-H48</f>
        <v>0</v>
      </c>
    </row>
    <row r="50" spans="1:11">
      <c r="G50" s="116"/>
      <c r="H50" s="116"/>
      <c r="I50" s="116"/>
      <c r="J50" s="116"/>
      <c r="K50" s="118"/>
    </row>
    <row r="51" spans="1:11">
      <c r="A51" s="119" t="s">
        <v>287</v>
      </c>
      <c r="G51" s="119" t="s">
        <v>287</v>
      </c>
      <c r="H51" s="116"/>
      <c r="I51" s="116"/>
      <c r="J51" s="116"/>
      <c r="K51" s="118"/>
    </row>
    <row r="52" spans="1:11">
      <c r="A52" s="119" t="s">
        <v>288</v>
      </c>
      <c r="B52" s="113" t="e">
        <f>IF(B$48=0,AVERAGE(B44:B$47),AVERAGE(B44:B$48))</f>
        <v>#DIV/0!</v>
      </c>
      <c r="C52" s="113" t="e">
        <f>IF(C$48=0,AVERAGE(C44:C$47),AVERAGE(C44:C$48))</f>
        <v>#DIV/0!</v>
      </c>
      <c r="D52" s="114" t="e">
        <f>C52/B52/4</f>
        <v>#DIV/0!</v>
      </c>
      <c r="E52" s="114">
        <v>0</v>
      </c>
      <c r="G52" s="119" t="s">
        <v>288</v>
      </c>
      <c r="H52" s="113">
        <f>IF(H$48=0,AVERAGE(H44:H$47),AVERAGE(H44:H$48))</f>
        <v>48.6</v>
      </c>
      <c r="I52" s="113">
        <f>IF(I$48=0,AVERAGE(I44:I$47),AVERAGE(I44:I$48))</f>
        <v>870446.51764705894</v>
      </c>
      <c r="J52" s="114">
        <f>I52/H52/4</f>
        <v>4477.6055434519494</v>
      </c>
      <c r="K52" s="114">
        <v>0</v>
      </c>
    </row>
    <row r="53" spans="1:11">
      <c r="A53" s="119" t="s">
        <v>289</v>
      </c>
      <c r="B53" s="113" t="e">
        <f>IF(B$48=0,AVERAGE(B45:B$47),AVERAGE(B45:B$48))</f>
        <v>#DIV/0!</v>
      </c>
      <c r="C53" s="113" t="e">
        <f>IF(C$48=0,AVERAGE(C45:C$47),AVERAGE(C45:C$48))</f>
        <v>#DIV/0!</v>
      </c>
      <c r="D53" s="114" t="e">
        <f>C53/B53/4</f>
        <v>#DIV/0!</v>
      </c>
      <c r="E53" s="114">
        <f>AVERAGE(E45:E48)</f>
        <v>0</v>
      </c>
      <c r="G53" s="119" t="s">
        <v>289</v>
      </c>
      <c r="H53" s="113">
        <f>IF(H$48=0,AVERAGE(H45:H$47),AVERAGE(H45:H$48))</f>
        <v>48</v>
      </c>
      <c r="I53" s="113">
        <f>IF(I$48=0,AVERAGE(I45:I$47),AVERAGE(I45:I$48))</f>
        <v>832108.28074866312</v>
      </c>
      <c r="J53" s="114">
        <f>I53/H53/4</f>
        <v>4333.8972955659538</v>
      </c>
      <c r="K53" s="114">
        <f>AVERAGE(K45:K48)</f>
        <v>-0.75</v>
      </c>
    </row>
    <row r="54" spans="1:11">
      <c r="A54" s="119" t="s">
        <v>290</v>
      </c>
      <c r="B54" s="113" t="e">
        <f>IF(B$48=0,AVERAGE(B46:B$47),AVERAGE(B46:B$48))</f>
        <v>#DIV/0!</v>
      </c>
      <c r="C54" s="113" t="e">
        <f>IF(C$48=0,AVERAGE(C46:C$47),AVERAGE(C46:C$48))</f>
        <v>#DIV/0!</v>
      </c>
      <c r="D54" s="114" t="e">
        <f>C54/B54/4</f>
        <v>#DIV/0!</v>
      </c>
      <c r="E54" s="114">
        <f>AVERAGE(E46:E48)</f>
        <v>0</v>
      </c>
      <c r="G54" s="119" t="s">
        <v>290</v>
      </c>
      <c r="H54" s="113">
        <f>IF(H$48=0,AVERAGE(H46:H$47),AVERAGE(H46:H$48))</f>
        <v>48</v>
      </c>
      <c r="I54" s="113">
        <f>IF(I$48=0,AVERAGE(I46:I$47),AVERAGE(I46:I$48))</f>
        <v>784450.96969696973</v>
      </c>
      <c r="J54" s="114">
        <f>I54/H54/4</f>
        <v>4085.6821338383838</v>
      </c>
      <c r="K54" s="114">
        <f>AVERAGE(K46:K48)</f>
        <v>0</v>
      </c>
    </row>
    <row r="55" spans="1:11">
      <c r="A55" s="119" t="s">
        <v>291</v>
      </c>
      <c r="B55" s="113" t="e">
        <f>IF(B$48=0,AVERAGE(B47:B$47),AVERAGE(B47:B$48))</f>
        <v>#DIV/0!</v>
      </c>
      <c r="C55" s="113" t="e">
        <f>IF(C$48=0,AVERAGE(C47:C$47),AVERAGE(C47:C$48))</f>
        <v>#DIV/0!</v>
      </c>
      <c r="D55" s="114" t="e">
        <f>C55/B55/4</f>
        <v>#DIV/0!</v>
      </c>
      <c r="E55" s="114">
        <f>AVERAGE(E47:E48)</f>
        <v>0</v>
      </c>
      <c r="G55" s="119" t="s">
        <v>291</v>
      </c>
      <c r="H55" s="113">
        <f>IF(H$48=0,AVERAGE(H47:H$47),AVERAGE(H47:H$48))</f>
        <v>48</v>
      </c>
      <c r="I55" s="113">
        <f>IF(I$48=0,AVERAGE(I47:I$47),AVERAGE(I47:I$48))</f>
        <v>770415.09090909082</v>
      </c>
      <c r="J55" s="114">
        <f>I55/H55/4</f>
        <v>4012.578598484848</v>
      </c>
      <c r="K55" s="114">
        <f>AVERAGE(K47:K48)</f>
        <v>0</v>
      </c>
    </row>
    <row r="56" spans="1:11">
      <c r="A56" s="119">
        <f>A48</f>
        <v>0</v>
      </c>
      <c r="B56" s="113">
        <f>B48</f>
        <v>0</v>
      </c>
      <c r="C56" s="113">
        <f>C48</f>
        <v>0</v>
      </c>
      <c r="D56" s="114" t="e">
        <f>C56/B56/4</f>
        <v>#DIV/0!</v>
      </c>
      <c r="E56" s="114">
        <f>E48</f>
        <v>0</v>
      </c>
      <c r="G56" s="119">
        <f>G48</f>
        <v>2014</v>
      </c>
      <c r="H56" s="113">
        <f>H48</f>
        <v>48</v>
      </c>
      <c r="I56" s="113">
        <f>I48</f>
        <v>771262</v>
      </c>
      <c r="J56" s="114">
        <f>I56/H56/4</f>
        <v>4016.9895833333335</v>
      </c>
      <c r="K56" s="114">
        <f>K48</f>
        <v>0</v>
      </c>
    </row>
  </sheetData>
  <mergeCells count="9">
    <mergeCell ref="G41:K41"/>
    <mergeCell ref="G23:K23"/>
    <mergeCell ref="A1:J1"/>
    <mergeCell ref="A2:J2"/>
    <mergeCell ref="A3:J3"/>
    <mergeCell ref="A5:E5"/>
    <mergeCell ref="G5:K5"/>
    <mergeCell ref="A23:E23"/>
    <mergeCell ref="A41:E41"/>
  </mergeCells>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sheetPr codeName="Sheet4">
    <pageSetUpPr fitToPage="1"/>
  </sheetPr>
  <dimension ref="A1:O59"/>
  <sheetViews>
    <sheetView showGridLines="0" topLeftCell="A10" zoomScale="86" zoomScaleNormal="86" workbookViewId="0">
      <selection activeCell="E32" sqref="E32"/>
    </sheetView>
  </sheetViews>
  <sheetFormatPr defaultRowHeight="15"/>
  <cols>
    <col min="2" max="2" width="9.140625" customWidth="1"/>
    <col min="3" max="3" width="15.5703125" customWidth="1"/>
    <col min="4" max="4" width="17.28515625" customWidth="1"/>
    <col min="5" max="5" width="17.42578125" customWidth="1"/>
    <col min="6" max="6" width="18.7109375" customWidth="1"/>
    <col min="7" max="8" width="14.42578125" customWidth="1"/>
    <col min="9" max="9" width="14" customWidth="1"/>
    <col min="10" max="10" width="19.42578125" customWidth="1"/>
    <col min="15" max="15" width="11.28515625" customWidth="1"/>
  </cols>
  <sheetData>
    <row r="1" spans="1:15">
      <c r="A1" s="1515"/>
      <c r="B1" s="188" t="str">
        <f>TestYear &amp; " Test Year"</f>
        <v>2015 Test Year</v>
      </c>
      <c r="C1" s="297"/>
      <c r="D1" s="186"/>
      <c r="E1" s="185"/>
      <c r="F1" s="185"/>
      <c r="G1" s="185"/>
      <c r="H1" s="185"/>
      <c r="I1" s="185"/>
      <c r="J1" s="185"/>
      <c r="K1" s="185"/>
      <c r="L1" s="307" t="s">
        <v>1108</v>
      </c>
      <c r="M1" s="185"/>
      <c r="N1" s="1515"/>
      <c r="O1" s="1515"/>
    </row>
    <row r="2" spans="1:15">
      <c r="A2" s="1515"/>
      <c r="B2" s="185"/>
      <c r="C2" s="185"/>
      <c r="D2" s="298"/>
      <c r="E2" s="185"/>
      <c r="F2" s="357"/>
      <c r="G2" s="363" t="str">
        <f>Utility</f>
        <v>MADISON WATER UTILITY</v>
      </c>
      <c r="H2" s="358"/>
      <c r="I2" s="1515"/>
      <c r="J2" s="358"/>
      <c r="K2" s="358"/>
      <c r="L2" s="358"/>
      <c r="M2" s="358"/>
      <c r="N2" s="358"/>
      <c r="O2" s="1515"/>
    </row>
    <row r="3" spans="1:15">
      <c r="A3" s="1515"/>
      <c r="B3" s="185"/>
      <c r="C3" s="185"/>
      <c r="D3" s="185"/>
      <c r="E3" s="185"/>
      <c r="F3" s="185"/>
      <c r="G3" s="185"/>
      <c r="H3" s="185"/>
      <c r="I3" s="191"/>
      <c r="J3" s="185"/>
      <c r="K3" s="185"/>
      <c r="L3" s="185"/>
      <c r="M3" s="185"/>
      <c r="N3" s="185"/>
      <c r="O3" s="1515"/>
    </row>
    <row r="4" spans="1:15">
      <c r="A4" s="1515"/>
      <c r="B4" s="185"/>
      <c r="C4" s="185"/>
      <c r="D4" s="185"/>
      <c r="E4" s="185"/>
      <c r="F4" s="360"/>
      <c r="G4" s="362" t="s">
        <v>1006</v>
      </c>
      <c r="H4" s="187"/>
      <c r="I4" s="1515"/>
      <c r="J4" s="187"/>
      <c r="K4" s="187"/>
      <c r="L4" s="187"/>
      <c r="M4" s="187"/>
      <c r="N4" s="187"/>
      <c r="O4" s="1515"/>
    </row>
    <row r="5" spans="1:15" ht="15.75" thickBot="1">
      <c r="A5" s="1515"/>
      <c r="B5" s="1515"/>
      <c r="C5" s="1515"/>
      <c r="D5" s="1515"/>
      <c r="E5" s="1515"/>
      <c r="F5" s="1515"/>
      <c r="G5" s="1590" t="s">
        <v>970</v>
      </c>
      <c r="H5" s="1515"/>
      <c r="I5" s="1515"/>
      <c r="J5" s="1515"/>
      <c r="K5" s="1515"/>
      <c r="L5" s="1515"/>
      <c r="M5" s="1515"/>
      <c r="N5" s="1515"/>
      <c r="O5" s="1515"/>
    </row>
    <row r="6" spans="1:15" ht="16.5" thickTop="1" thickBot="1">
      <c r="A6" s="1515"/>
      <c r="B6" s="1580"/>
      <c r="C6" s="1581"/>
      <c r="D6" s="1581"/>
      <c r="E6" s="1581"/>
      <c r="F6" s="1581"/>
      <c r="G6" s="1581"/>
      <c r="H6" s="1581"/>
      <c r="I6" s="1581"/>
      <c r="J6" s="1581"/>
      <c r="K6" s="1581"/>
      <c r="L6" s="1582"/>
      <c r="M6" s="1516"/>
      <c r="N6" s="1515"/>
      <c r="O6" s="1515"/>
    </row>
    <row r="7" spans="1:15" ht="15.75" thickBot="1">
      <c r="A7" s="1515"/>
      <c r="B7" s="396"/>
      <c r="C7" s="1554" t="s">
        <v>969</v>
      </c>
      <c r="D7" s="399"/>
      <c r="E7" s="1555">
        <f>BillingPeriods</f>
        <v>12</v>
      </c>
      <c r="F7" s="400"/>
      <c r="G7" s="400"/>
      <c r="H7" s="400"/>
      <c r="I7" s="1556"/>
      <c r="J7" s="1938"/>
      <c r="K7" s="1938"/>
      <c r="L7" s="1583"/>
      <c r="M7" s="1516"/>
      <c r="N7" s="1515"/>
      <c r="O7" s="1515"/>
    </row>
    <row r="8" spans="1:15">
      <c r="A8" s="1515"/>
      <c r="B8" s="396"/>
      <c r="C8" s="398"/>
      <c r="D8" s="399"/>
      <c r="E8" s="1557"/>
      <c r="F8" s="400"/>
      <c r="G8" s="400"/>
      <c r="H8" s="400"/>
      <c r="I8" s="401"/>
      <c r="J8" s="1558"/>
      <c r="K8" s="1558"/>
      <c r="L8" s="1583"/>
      <c r="M8" s="1516"/>
      <c r="N8" s="1515"/>
      <c r="O8" s="1515"/>
    </row>
    <row r="9" spans="1:15">
      <c r="A9" s="1515"/>
      <c r="B9" s="1584"/>
      <c r="C9" s="1559" t="s">
        <v>1005</v>
      </c>
      <c r="D9" s="1560"/>
      <c r="E9" s="1560"/>
      <c r="F9" s="1560"/>
      <c r="G9" s="1559" t="str">
        <f>CBRate</f>
        <v>Yes</v>
      </c>
      <c r="H9" s="1561"/>
      <c r="I9" s="1561"/>
      <c r="J9" s="1560"/>
      <c r="K9" s="1560"/>
      <c r="L9" s="1583"/>
      <c r="M9" s="1516"/>
      <c r="N9" s="1515"/>
      <c r="O9" s="1515"/>
    </row>
    <row r="10" spans="1:15">
      <c r="A10" s="1515"/>
      <c r="B10" s="1584"/>
      <c r="C10" s="1559"/>
      <c r="D10" s="1560"/>
      <c r="E10" s="1560"/>
      <c r="F10" s="1560"/>
      <c r="G10" s="1560"/>
      <c r="H10" s="1560"/>
      <c r="I10" s="1560"/>
      <c r="J10" s="1560"/>
      <c r="K10" s="1560"/>
      <c r="L10" s="1583"/>
      <c r="M10" s="1516"/>
      <c r="N10" s="1515"/>
      <c r="O10" s="1515"/>
    </row>
    <row r="11" spans="1:15">
      <c r="A11" s="1515"/>
      <c r="B11" s="1584"/>
      <c r="C11" s="1559" t="str">
        <f>IF(CBRate="Yes","Which rate schedules do you have?","")</f>
        <v>Which rate schedules do you have?</v>
      </c>
      <c r="D11" s="1561"/>
      <c r="E11" s="1559"/>
      <c r="F11" s="1559"/>
      <c r="G11" s="1559"/>
      <c r="H11" s="1559"/>
      <c r="I11" s="1559"/>
      <c r="J11" s="1560"/>
      <c r="K11" s="1560"/>
      <c r="L11" s="1583"/>
      <c r="M11" s="1516"/>
      <c r="N11" s="1515"/>
      <c r="O11" s="1515"/>
    </row>
    <row r="12" spans="1:15">
      <c r="A12" s="1515"/>
      <c r="B12" s="1584"/>
      <c r="C12" s="1564" t="s">
        <v>1115</v>
      </c>
      <c r="D12" s="1790" t="s">
        <v>1114</v>
      </c>
      <c r="E12" s="1560"/>
      <c r="F12" s="1560"/>
      <c r="G12" s="1560"/>
      <c r="H12" s="1560"/>
      <c r="I12" s="1560"/>
      <c r="J12" s="1560"/>
      <c r="K12" s="1560"/>
      <c r="L12" s="1583"/>
      <c r="M12" s="1516"/>
      <c r="N12" s="1515"/>
      <c r="O12" s="1515"/>
    </row>
    <row r="13" spans="1:15">
      <c r="A13" s="1515"/>
      <c r="B13" s="1584"/>
      <c r="C13" s="1559"/>
      <c r="D13" s="1560"/>
      <c r="E13" s="1560"/>
      <c r="F13" s="1560"/>
      <c r="G13" s="1560"/>
      <c r="H13" s="1560"/>
      <c r="I13" s="1560"/>
      <c r="J13" s="1560"/>
      <c r="K13" s="1560"/>
      <c r="L13" s="1583"/>
      <c r="M13" s="1516"/>
      <c r="N13" s="1515"/>
      <c r="O13" s="1515"/>
    </row>
    <row r="14" spans="1:15">
      <c r="A14" s="1515"/>
      <c r="B14" s="1584"/>
      <c r="C14" s="1559"/>
      <c r="D14" s="1560"/>
      <c r="E14" s="1560" t="str">
        <f>IF(CBRate="Yes","Non-Residential","")</f>
        <v>Non-Residential</v>
      </c>
      <c r="F14" s="1560" t="str">
        <f>IF(CBRate="Yes",Attach2A!F14,"")</f>
        <v>Yes</v>
      </c>
      <c r="G14" s="1560"/>
      <c r="H14" s="1560" t="str">
        <f>IF(CBRate="Yes","Multifamily","")</f>
        <v>Multifamily</v>
      </c>
      <c r="I14" s="1560" t="str">
        <f>IF(CBRate="Yes",Attach2A!I14,"")</f>
        <v>Yes</v>
      </c>
      <c r="J14" s="1560"/>
      <c r="K14" s="1560"/>
      <c r="L14" s="1583"/>
      <c r="M14" s="1516"/>
      <c r="N14" s="1515"/>
      <c r="O14" s="1515"/>
    </row>
    <row r="15" spans="1:15">
      <c r="A15" s="1515"/>
      <c r="B15" s="1584"/>
      <c r="C15" s="1559"/>
      <c r="D15" s="1560"/>
      <c r="E15" s="1560"/>
      <c r="F15" s="1560"/>
      <c r="G15" s="1560"/>
      <c r="H15" s="1560" t="str">
        <f>IF(CBRate="Yes","Irrigation","")</f>
        <v>Irrigation</v>
      </c>
      <c r="I15" s="1560" t="str">
        <f>IF(CBRate="Yes",Attach2A!I15,"")</f>
        <v>No</v>
      </c>
      <c r="J15" s="1560"/>
      <c r="K15" s="1560"/>
      <c r="L15" s="1583"/>
      <c r="M15" s="1516"/>
      <c r="N15" s="1515"/>
      <c r="O15" s="1515"/>
    </row>
    <row r="16" spans="1:15" ht="30" customHeight="1">
      <c r="A16" s="1515"/>
      <c r="B16" s="1584"/>
      <c r="C16" s="1559"/>
      <c r="D16" s="1560"/>
      <c r="E16" s="1560"/>
      <c r="F16" s="1560"/>
      <c r="G16" s="1560"/>
      <c r="H16" s="1560"/>
      <c r="I16" s="1560"/>
      <c r="J16" s="1560"/>
      <c r="K16" s="1560"/>
      <c r="L16" s="1583"/>
      <c r="M16" s="1516"/>
      <c r="N16" s="1515"/>
      <c r="O16" s="1515"/>
    </row>
    <row r="17" spans="1:15">
      <c r="A17" s="1515"/>
      <c r="B17" s="1584"/>
      <c r="C17" s="1561"/>
      <c r="D17" s="1562" t="str">
        <f>IF(CBRate="","","Volume Block")</f>
        <v>Volume Block</v>
      </c>
      <c r="E17" s="1559" t="str">
        <f>IF(CBRate="","",IF(F13="Yes","Residential","Rate"))</f>
        <v>Rate</v>
      </c>
      <c r="F17" s="1563" t="str">
        <f>IF(CBRate="","",IF(F14="Yes","Non-Residential",""))</f>
        <v>Non-Residential</v>
      </c>
      <c r="G17" s="1559" t="str">
        <f>IF(CBRate="","",IF(I15="Yes","Irrigation",""))</f>
        <v/>
      </c>
      <c r="H17" s="1559" t="str">
        <f>IF(CBRate="","",IF(I14="Yes","Multifamily Residential",""))</f>
        <v>Multifamily Residential</v>
      </c>
      <c r="I17" s="1560"/>
      <c r="J17" s="1560"/>
      <c r="K17" s="1560"/>
      <c r="L17" s="1583"/>
      <c r="M17" s="1516"/>
      <c r="N17" s="1515"/>
      <c r="O17" s="1515"/>
    </row>
    <row r="18" spans="1:15">
      <c r="A18" s="1515"/>
      <c r="B18" s="1584"/>
      <c r="C18" s="1564" t="str">
        <f>IF(CBRate="","","First")</f>
        <v>First</v>
      </c>
      <c r="D18" s="1763">
        <f>Block1</f>
        <v>8333</v>
      </c>
      <c r="E18" s="1786">
        <f>Attach2A!E18</f>
        <v>2.1</v>
      </c>
      <c r="F18" s="1565">
        <f>IF($F$14="Yes",Attach2A!F18,"")</f>
        <v>1.75</v>
      </c>
      <c r="G18" s="1565" t="str">
        <f>IF($F$15="Yes",Attach2A!G18,"")</f>
        <v/>
      </c>
      <c r="H18" s="1565">
        <f>IF($I$14="Yes",Attach2A!H18,"")</f>
        <v>1.75</v>
      </c>
      <c r="I18" s="1560"/>
      <c r="J18" s="1560"/>
      <c r="K18" s="1560"/>
      <c r="L18" s="1583"/>
      <c r="M18" s="1516"/>
      <c r="N18" s="1515"/>
      <c r="O18" s="1515"/>
    </row>
    <row r="19" spans="1:15">
      <c r="A19" s="1515"/>
      <c r="B19" s="1584"/>
      <c r="C19" s="1564" t="str">
        <f>IF(CBRate="","","Next")</f>
        <v>Next</v>
      </c>
      <c r="D19" s="1763">
        <f>Block2</f>
        <v>0</v>
      </c>
      <c r="E19" s="1786">
        <f>Attach2A!E19</f>
        <v>0</v>
      </c>
      <c r="F19" s="1565">
        <f>IF($F$14="Yes",Attach2A!F19,"")</f>
        <v>0</v>
      </c>
      <c r="G19" s="1565" t="str">
        <f>IF($F$15="Yes",Attach2A!G19,"")</f>
        <v/>
      </c>
      <c r="H19" s="1565">
        <f>IF($I$14="Yes",Attach2A!H19,"")</f>
        <v>0</v>
      </c>
      <c r="I19" s="1560"/>
      <c r="J19" s="1560"/>
      <c r="K19" s="1560"/>
      <c r="L19" s="1583"/>
      <c r="M19" s="1516"/>
      <c r="N19" s="1515"/>
      <c r="O19" s="1515"/>
    </row>
    <row r="20" spans="1:15">
      <c r="A20" s="1515"/>
      <c r="B20" s="1584"/>
      <c r="C20" s="1564" t="str">
        <f>IF(CBRate="","","Next")</f>
        <v>Next</v>
      </c>
      <c r="D20" s="1763">
        <f>Block3</f>
        <v>0</v>
      </c>
      <c r="E20" s="1786">
        <f>Attach2A!E20</f>
        <v>0</v>
      </c>
      <c r="F20" s="1565">
        <f>IF($F$14="Yes",Attach2A!F20,"")</f>
        <v>0</v>
      </c>
      <c r="G20" s="1565" t="str">
        <f>IF($F$15="Yes",Attach2A!G20,"")</f>
        <v/>
      </c>
      <c r="H20" s="1565">
        <f>IF($I$14="Yes",Attach2A!H20,"")</f>
        <v>0</v>
      </c>
      <c r="I20" s="1560"/>
      <c r="J20" s="1560"/>
      <c r="K20" s="1560"/>
      <c r="L20" s="1583"/>
      <c r="M20" s="1516"/>
      <c r="N20" s="1515"/>
      <c r="O20" s="1515"/>
    </row>
    <row r="21" spans="1:15">
      <c r="A21" s="1515"/>
      <c r="B21" s="1584"/>
      <c r="C21" s="1564" t="str">
        <f>IF(CBRate="","","Next")</f>
        <v>Next</v>
      </c>
      <c r="D21" s="1763">
        <f>Block4</f>
        <v>0</v>
      </c>
      <c r="E21" s="1786">
        <f>Attach2A!E21</f>
        <v>0</v>
      </c>
      <c r="F21" s="1565">
        <f>IF($F$14="Yes",Attach2A!F21,"")</f>
        <v>0</v>
      </c>
      <c r="G21" s="1565" t="str">
        <f>IF($F$15="Yes",Attach2A!G21,"")</f>
        <v/>
      </c>
      <c r="H21" s="1565">
        <f>IF($I$14="Yes",Attach2A!H21,"")</f>
        <v>0</v>
      </c>
      <c r="I21" s="1560"/>
      <c r="J21" s="1560"/>
      <c r="K21" s="1560"/>
      <c r="L21" s="1583"/>
      <c r="M21" s="1516"/>
      <c r="N21" s="1515"/>
      <c r="O21" s="1515"/>
    </row>
    <row r="22" spans="1:15">
      <c r="A22" s="1515"/>
      <c r="B22" s="1584"/>
      <c r="C22" s="1564" t="str">
        <f>IF(CBRate="","","Over")</f>
        <v>Over</v>
      </c>
      <c r="D22" s="1763">
        <f>Block5</f>
        <v>8333</v>
      </c>
      <c r="E22" s="1786">
        <f>Attach2A!E22</f>
        <v>2.1</v>
      </c>
      <c r="F22" s="1565">
        <f>IF($F$14="Yes",Attach2A!F22,"")</f>
        <v>1.37</v>
      </c>
      <c r="G22" s="1565" t="str">
        <f>IF($F$15="Yes",Attach2A!G22,"")</f>
        <v/>
      </c>
      <c r="H22" s="1565">
        <f>IF($I$14="Yes",Attach2A!H22,"")</f>
        <v>1.37</v>
      </c>
      <c r="I22" s="1560"/>
      <c r="J22" s="1560"/>
      <c r="K22" s="1560"/>
      <c r="L22" s="1583"/>
      <c r="M22" s="1516"/>
      <c r="N22" s="1515"/>
      <c r="O22" s="1515"/>
    </row>
    <row r="23" spans="1:15">
      <c r="A23" s="1515"/>
      <c r="B23" s="1584"/>
      <c r="C23" s="1560"/>
      <c r="D23" s="1560"/>
      <c r="E23" s="1560"/>
      <c r="F23" s="1560"/>
      <c r="G23" s="1560"/>
      <c r="H23" s="1560"/>
      <c r="I23" s="1560"/>
      <c r="J23" s="1560"/>
      <c r="K23" s="1560"/>
      <c r="L23" s="1583"/>
      <c r="M23" s="1516"/>
      <c r="N23" s="1515"/>
      <c r="O23" s="1515"/>
    </row>
    <row r="24" spans="1:15">
      <c r="A24" s="1515"/>
      <c r="B24" s="1584"/>
      <c r="C24" s="1560"/>
      <c r="D24" s="1560"/>
      <c r="E24" s="1560"/>
      <c r="F24" s="1560"/>
      <c r="G24" s="1560"/>
      <c r="H24" s="1560"/>
      <c r="I24" s="1560"/>
      <c r="J24" s="1560"/>
      <c r="K24" s="1560"/>
      <c r="L24" s="1583"/>
      <c r="M24" s="1516"/>
      <c r="N24" s="1515"/>
      <c r="O24" s="1515"/>
    </row>
    <row r="25" spans="1:15" ht="30">
      <c r="A25" s="1515"/>
      <c r="B25" s="1584"/>
      <c r="C25" s="1560"/>
      <c r="D25" s="1566" t="s">
        <v>9</v>
      </c>
      <c r="E25" s="1567" t="s">
        <v>938</v>
      </c>
      <c r="F25" s="1566" t="s">
        <v>252</v>
      </c>
      <c r="G25" s="1568" t="s">
        <v>10</v>
      </c>
      <c r="H25" s="1569" t="s">
        <v>11</v>
      </c>
      <c r="I25" s="1568" t="s">
        <v>908</v>
      </c>
      <c r="J25" s="1570"/>
      <c r="K25" s="1560"/>
      <c r="L25" s="1583"/>
      <c r="M25" s="1516"/>
      <c r="N25" s="1515"/>
      <c r="O25" s="1515"/>
    </row>
    <row r="26" spans="1:15">
      <c r="A26" s="1515"/>
      <c r="B26" s="1584"/>
      <c r="C26" s="1560"/>
      <c r="D26" s="1571" t="s">
        <v>254</v>
      </c>
      <c r="E26" s="1572" t="s">
        <v>254</v>
      </c>
      <c r="F26" s="1571" t="s">
        <v>254</v>
      </c>
      <c r="G26" s="1571" t="s">
        <v>254</v>
      </c>
      <c r="H26" s="1571" t="s">
        <v>254</v>
      </c>
      <c r="I26" s="1571" t="s">
        <v>254</v>
      </c>
      <c r="J26" s="1573" t="s">
        <v>253</v>
      </c>
      <c r="K26" s="1560"/>
      <c r="L26" s="1583"/>
      <c r="M26" s="1516"/>
      <c r="N26" s="1515"/>
      <c r="O26" s="1515"/>
    </row>
    <row r="27" spans="1:15">
      <c r="A27" s="1515"/>
      <c r="B27" s="1584"/>
      <c r="C27" s="1560"/>
      <c r="D27" s="397"/>
      <c r="E27" s="397"/>
      <c r="F27" s="397"/>
      <c r="G27" s="397"/>
      <c r="H27" s="397"/>
      <c r="I27" s="397"/>
      <c r="J27" s="397"/>
      <c r="K27" s="1560"/>
      <c r="L27" s="1583"/>
      <c r="M27" s="1516"/>
      <c r="N27" s="1515"/>
      <c r="O27" s="1515"/>
    </row>
    <row r="28" spans="1:15">
      <c r="A28" s="1515"/>
      <c r="B28" s="1584"/>
      <c r="C28" s="1574" t="str">
        <f>"First "&amp;TEXT(D18,"###,###,###")</f>
        <v>First 8,333</v>
      </c>
      <c r="D28" s="1544">
        <v>3927890.2115897774</v>
      </c>
      <c r="E28" s="1544">
        <v>1839123.4270404687</v>
      </c>
      <c r="F28" s="1544">
        <v>1150724</v>
      </c>
      <c r="G28" s="1544">
        <v>26469.901919192176</v>
      </c>
      <c r="H28" s="1544">
        <v>239747.44525094886</v>
      </c>
      <c r="I28" s="1544">
        <v>0</v>
      </c>
      <c r="J28" s="1575">
        <f>SUM(D28:I28)</f>
        <v>7183954.9858003873</v>
      </c>
      <c r="K28" s="1560"/>
      <c r="L28" s="1583"/>
      <c r="M28" s="1516"/>
      <c r="N28" s="1515"/>
      <c r="O28" s="1515"/>
    </row>
    <row r="29" spans="1:15">
      <c r="A29" s="1515"/>
      <c r="B29" s="1584"/>
      <c r="C29" s="1574" t="str">
        <f>IF(Block2=0,"","Next "&amp;TEXT(D19,"###,###,###"))</f>
        <v/>
      </c>
      <c r="D29" s="1544">
        <v>0</v>
      </c>
      <c r="E29" s="1544">
        <v>0</v>
      </c>
      <c r="F29" s="1544">
        <v>0</v>
      </c>
      <c r="G29" s="1544">
        <v>0</v>
      </c>
      <c r="H29" s="1544">
        <v>0</v>
      </c>
      <c r="I29" s="1544">
        <v>0</v>
      </c>
      <c r="J29" s="1575">
        <f>SUM(D29:I29)</f>
        <v>0</v>
      </c>
      <c r="K29" s="1560"/>
      <c r="L29" s="1583"/>
      <c r="M29" s="1516"/>
      <c r="N29" s="1515"/>
      <c r="O29" s="1515"/>
    </row>
    <row r="30" spans="1:15">
      <c r="A30" s="1515"/>
      <c r="B30" s="1584"/>
      <c r="C30" s="1574" t="str">
        <f>IF(Block3=0,"","Next "&amp;TEXT(D20,"###,###,###"))</f>
        <v/>
      </c>
      <c r="D30" s="1544">
        <v>0</v>
      </c>
      <c r="E30" s="1544">
        <v>0</v>
      </c>
      <c r="F30" s="1544">
        <v>0</v>
      </c>
      <c r="G30" s="1544">
        <v>0</v>
      </c>
      <c r="H30" s="1544">
        <v>0</v>
      </c>
      <c r="I30" s="1544">
        <v>0</v>
      </c>
      <c r="J30" s="1575">
        <f>SUM(D30:I30)</f>
        <v>0</v>
      </c>
      <c r="K30" s="1560"/>
      <c r="L30" s="1583"/>
      <c r="M30" s="1516"/>
      <c r="N30" s="1515"/>
      <c r="O30" s="1515"/>
    </row>
    <row r="31" spans="1:15">
      <c r="A31" s="1515"/>
      <c r="B31" s="1584"/>
      <c r="C31" s="1574" t="str">
        <f>IF(Block4=0,"","Next "&amp;TEXT(D21,"###,###,###"))</f>
        <v/>
      </c>
      <c r="D31" s="1544">
        <v>0</v>
      </c>
      <c r="E31" s="1544">
        <v>0</v>
      </c>
      <c r="F31" s="1544">
        <v>0</v>
      </c>
      <c r="G31" s="1544">
        <v>0</v>
      </c>
      <c r="H31" s="1544">
        <v>0</v>
      </c>
      <c r="I31" s="1544">
        <v>0</v>
      </c>
      <c r="J31" s="1575">
        <f>SUM(D31:I31)</f>
        <v>0</v>
      </c>
      <c r="K31" s="1560"/>
      <c r="L31" s="1583"/>
      <c r="M31" s="1516"/>
      <c r="N31" s="1515"/>
      <c r="O31" s="1515"/>
    </row>
    <row r="32" spans="1:15">
      <c r="A32" s="1515"/>
      <c r="B32" s="1584"/>
      <c r="C32" s="1574" t="str">
        <f>"Over "&amp; TEXT(D22,"###,###,###")</f>
        <v>Over 8,333</v>
      </c>
      <c r="D32" s="1546">
        <v>0</v>
      </c>
      <c r="E32" s="1546">
        <v>772283.18508342118</v>
      </c>
      <c r="F32" s="1546">
        <v>1228008</v>
      </c>
      <c r="G32" s="1546">
        <v>743945.18898989866</v>
      </c>
      <c r="H32" s="1546">
        <v>1615528.7151768585</v>
      </c>
      <c r="I32" s="1546">
        <v>0</v>
      </c>
      <c r="J32" s="1576">
        <f>SUM(D32:I32)</f>
        <v>4359765.089250179</v>
      </c>
      <c r="K32" s="1560"/>
      <c r="L32" s="1585"/>
      <c r="M32" s="1515"/>
      <c r="N32" s="1515"/>
      <c r="O32" s="1515"/>
    </row>
    <row r="33" spans="1:15">
      <c r="A33" s="1515"/>
      <c r="B33" s="1586"/>
      <c r="C33" s="1561"/>
      <c r="D33" s="1577"/>
      <c r="E33" s="1577"/>
      <c r="F33" s="1577"/>
      <c r="G33" s="1577"/>
      <c r="H33" s="1577"/>
      <c r="I33" s="1577"/>
      <c r="J33" s="1577"/>
      <c r="K33" s="1561"/>
      <c r="L33" s="1585"/>
      <c r="M33" s="1515"/>
      <c r="N33" s="1515"/>
      <c r="O33" s="1515"/>
    </row>
    <row r="34" spans="1:15">
      <c r="A34" s="1515"/>
      <c r="B34" s="1586"/>
      <c r="C34" s="1578" t="s">
        <v>964</v>
      </c>
      <c r="D34" s="1579">
        <f t="shared" ref="D34:J34" si="0">SUM(D28:D32)</f>
        <v>3927890.2115897774</v>
      </c>
      <c r="E34" s="1579">
        <f t="shared" si="0"/>
        <v>2611406.6121238898</v>
      </c>
      <c r="F34" s="1579">
        <f t="shared" si="0"/>
        <v>2378732</v>
      </c>
      <c r="G34" s="1579">
        <f t="shared" si="0"/>
        <v>770415.09090909082</v>
      </c>
      <c r="H34" s="1579">
        <f t="shared" si="0"/>
        <v>1855276.1604278074</v>
      </c>
      <c r="I34" s="1579">
        <f t="shared" si="0"/>
        <v>0</v>
      </c>
      <c r="J34" s="1579">
        <f t="shared" si="0"/>
        <v>11543720.075050566</v>
      </c>
      <c r="K34" s="1561"/>
      <c r="L34" s="1585"/>
      <c r="M34" s="1515"/>
      <c r="N34" s="1515"/>
      <c r="O34" s="1515"/>
    </row>
    <row r="35" spans="1:15">
      <c r="A35" s="1515"/>
      <c r="B35" s="1586"/>
      <c r="C35" s="1578" t="s">
        <v>965</v>
      </c>
      <c r="D35" s="1798">
        <f>SUM(PRODUCT(D28,$E$18),PRODUCT(D29,$E$19),PRODUCT(D30,$E$20),PRODUCT(D31,$E$21),PRODUCT(D32,$E$22))</f>
        <v>8248569.4443385331</v>
      </c>
      <c r="E35" s="1798">
        <f>IF(I14="Yes",SUM(PRODUCT(E28,$H$18),PRODUCT(E29,$H$19),PRODUCT(E30,$H$20),PRODUCT(E31,$H$21),PRODUCT(E32,$H$22)),SUM(PRODUCT(E28,$E$18),PRODUCT(E29,$E$19),PRODUCT(E30,$E$20),PRODUCT(E31,$E$21),PRODUCT(E32,$E$22)))</f>
        <v>4276493.9608851075</v>
      </c>
      <c r="F35" s="1798">
        <f>IF(F14="Yes",SUM(PRODUCT(F28,$F$18),PRODUCT(F29,$F$19),PRODUCT(F30,$F$20),PRODUCT(F31,$F$21),PRODUCT(F32,$F$22)),SUM(PRODUCT(F28,$E$18),PRODUCT(F29,$E$19),PRODUCT(F30,$E$20),PRODUCT(F31,$E$21),PRODUCT(F32,$E$22)))</f>
        <v>3696137.96</v>
      </c>
      <c r="G35" s="1798">
        <f>IF(F14="Yes",SUM(PRODUCT(G28,$F$18),PRODUCT(G29,$F$19),PRODUCT(G30,$F$20),PRODUCT(G31,$F$21),PRODUCT(G32,$F$22)),SUM(PRODUCT(G28,$E$18),PRODUCT(G29,$E$19),PRODUCT(G30,$E$20),PRODUCT(G31,$E$21),PRODUCT(G32,$E$22)))</f>
        <v>1065527.2372747476</v>
      </c>
      <c r="H35" s="1798">
        <f>IF(F14="Yes",SUM(PRODUCT(H28,$F$18),PRODUCT(H29,$F$19),PRODUCT(H30,$F$20),PRODUCT(H31,$F$21),PRODUCT(H32,$F$22)),SUM(PRODUCT(H28,$E$18),PRODUCT(H29,$E$19),PRODUCT(H30,$E$20),PRODUCT(H31,$E$21),PRODUCT(H32,$E$22)))</f>
        <v>2632832.3689814568</v>
      </c>
      <c r="I35" s="1798">
        <f>IF(F15="Yes",SUM(PRODUCT(I28,$G$18),PRODUCT(I29,$G$19),PRODUCT(I30,$G$20),PRODUCT(I31,$G$21),PRODUCT(I32,$G$22)),SUM(PRODUCT(I28,$E$18),PRODUCT(I29,$E$19),PRODUCT(I30,$E$20),PRODUCT(I31,$E$21),PRODUCT(I32,$E$22)))</f>
        <v>0</v>
      </c>
      <c r="J35" s="1798">
        <f>SUM(D35:I35)</f>
        <v>19919560.971479848</v>
      </c>
      <c r="K35" s="1561"/>
      <c r="L35" s="1585"/>
      <c r="M35" s="1515"/>
      <c r="N35" s="1515"/>
      <c r="O35" s="1515"/>
    </row>
    <row r="36" spans="1:15">
      <c r="A36" s="1515"/>
      <c r="B36" s="1586"/>
      <c r="C36" s="1561"/>
      <c r="D36" s="1561"/>
      <c r="E36" s="1561"/>
      <c r="F36" s="1561"/>
      <c r="G36" s="1561"/>
      <c r="H36" s="1561"/>
      <c r="I36" s="1561"/>
      <c r="J36" s="1561"/>
      <c r="K36" s="1561"/>
      <c r="L36" s="1585"/>
      <c r="M36" s="1515"/>
      <c r="N36" s="1515"/>
      <c r="O36" s="1515"/>
    </row>
    <row r="37" spans="1:15">
      <c r="A37" s="1515"/>
      <c r="B37" s="1586"/>
      <c r="C37" s="1561"/>
      <c r="D37" s="1561"/>
      <c r="E37" s="1561"/>
      <c r="F37" s="1561"/>
      <c r="G37" s="1561"/>
      <c r="H37" s="1561"/>
      <c r="I37" s="1561"/>
      <c r="J37" s="1561"/>
      <c r="K37" s="1561"/>
      <c r="L37" s="1585"/>
      <c r="M37" s="1515"/>
      <c r="N37" s="1515"/>
      <c r="O37" s="1515"/>
    </row>
    <row r="38" spans="1:15">
      <c r="A38" s="1515"/>
      <c r="B38" s="1586"/>
      <c r="C38" s="1561"/>
      <c r="D38" s="1561"/>
      <c r="E38" s="1561"/>
      <c r="F38" s="1561"/>
      <c r="G38" s="1561"/>
      <c r="H38" s="1561"/>
      <c r="I38" s="1561"/>
      <c r="J38" s="1561"/>
      <c r="K38" s="1561"/>
      <c r="L38" s="1585"/>
      <c r="M38" s="1515"/>
      <c r="N38" s="1515"/>
      <c r="O38" s="1515"/>
    </row>
    <row r="39" spans="1:15">
      <c r="A39" s="1515"/>
      <c r="B39" s="1586"/>
      <c r="C39" s="1561"/>
      <c r="D39" s="1561"/>
      <c r="E39" s="1561"/>
      <c r="F39" s="1561"/>
      <c r="G39" s="1561"/>
      <c r="H39" s="1561"/>
      <c r="I39" s="1561"/>
      <c r="J39" s="1561"/>
      <c r="K39" s="1561"/>
      <c r="L39" s="1585"/>
      <c r="M39" s="1515"/>
      <c r="N39" s="1515"/>
      <c r="O39" s="1515"/>
    </row>
    <row r="40" spans="1:15" ht="15.75" thickBot="1">
      <c r="A40" s="1515"/>
      <c r="B40" s="1587"/>
      <c r="C40" s="1588"/>
      <c r="D40" s="1588"/>
      <c r="E40" s="1588"/>
      <c r="F40" s="1588"/>
      <c r="G40" s="1588"/>
      <c r="H40" s="1588"/>
      <c r="I40" s="1588"/>
      <c r="J40" s="1588"/>
      <c r="K40" s="1588"/>
      <c r="L40" s="1589"/>
      <c r="M40" s="1515"/>
      <c r="N40" s="1515"/>
      <c r="O40" s="1515"/>
    </row>
    <row r="41" spans="1:15" ht="15.75" thickTop="1">
      <c r="A41" s="1515"/>
      <c r="B41" s="1515"/>
      <c r="C41" s="1515"/>
      <c r="D41" s="1515"/>
      <c r="E41" s="1515"/>
      <c r="F41" s="1515"/>
      <c r="G41" s="1515"/>
      <c r="H41" s="1515"/>
      <c r="I41" s="1515"/>
      <c r="J41" s="1515"/>
      <c r="K41" s="1515"/>
      <c r="L41" s="1515"/>
      <c r="M41" s="1515"/>
      <c r="N41" s="1515"/>
      <c r="O41" s="1515"/>
    </row>
    <row r="42" spans="1:15">
      <c r="A42" s="1515"/>
      <c r="B42" s="1515"/>
      <c r="C42" s="1515"/>
      <c r="D42" s="1515"/>
      <c r="E42" s="1515"/>
      <c r="F42" s="1515"/>
      <c r="G42" s="1515"/>
      <c r="H42" s="1515"/>
      <c r="I42" s="1515"/>
      <c r="J42" s="1515"/>
      <c r="K42" s="1515"/>
      <c r="L42" s="1515"/>
      <c r="M42" s="1515"/>
      <c r="N42" s="1515"/>
      <c r="O42" s="1515"/>
    </row>
    <row r="43" spans="1:15">
      <c r="A43" s="1515"/>
      <c r="B43" s="1515"/>
      <c r="C43" s="1515"/>
      <c r="D43" s="1515"/>
      <c r="E43" s="1515"/>
      <c r="F43" s="1515"/>
      <c r="G43" s="1515"/>
      <c r="H43" s="1515"/>
      <c r="I43" s="1515"/>
      <c r="J43" s="1515"/>
      <c r="K43" s="1515"/>
      <c r="L43" s="1515"/>
      <c r="M43" s="1515"/>
      <c r="N43" s="1515"/>
      <c r="O43" s="1515"/>
    </row>
    <row r="44" spans="1:15">
      <c r="A44" s="1515"/>
      <c r="B44" s="1515"/>
      <c r="C44" s="1515"/>
      <c r="D44" s="1515"/>
      <c r="E44" s="1515"/>
      <c r="F44" s="1515"/>
      <c r="G44" s="1515"/>
      <c r="H44" s="1515"/>
      <c r="I44" s="1515"/>
      <c r="J44" s="1515"/>
      <c r="K44" s="1515"/>
      <c r="L44" s="1515"/>
      <c r="M44" s="1515"/>
      <c r="N44" s="1515"/>
      <c r="O44" s="1515"/>
    </row>
    <row r="45" spans="1:15">
      <c r="A45" s="1515"/>
      <c r="B45" s="1515"/>
      <c r="C45" s="1515"/>
      <c r="D45" s="1515"/>
      <c r="E45" s="1515"/>
      <c r="F45" s="1515"/>
      <c r="G45" s="1515"/>
      <c r="H45" s="1515"/>
      <c r="I45" s="1515"/>
      <c r="J45" s="1515"/>
      <c r="K45" s="1515"/>
      <c r="L45" s="1515"/>
      <c r="M45" s="1515"/>
      <c r="N45" s="1515"/>
      <c r="O45" s="1515"/>
    </row>
    <row r="46" spans="1:15">
      <c r="A46" s="1515"/>
      <c r="B46" s="1515"/>
      <c r="C46" s="1515"/>
      <c r="D46" s="1515"/>
      <c r="E46" s="1515"/>
      <c r="F46" s="1515"/>
      <c r="G46" s="1515"/>
      <c r="H46" s="1515"/>
      <c r="I46" s="1515"/>
      <c r="J46" s="1515"/>
      <c r="K46" s="1515"/>
      <c r="L46" s="1515"/>
      <c r="M46" s="1515"/>
      <c r="N46" s="1515"/>
      <c r="O46" s="1515"/>
    </row>
    <row r="47" spans="1:15">
      <c r="A47" s="1515"/>
      <c r="B47" s="1515"/>
      <c r="C47" s="1515"/>
      <c r="D47" s="1515"/>
      <c r="E47" s="1515"/>
      <c r="F47" s="1515"/>
      <c r="G47" s="1515"/>
      <c r="H47" s="1515"/>
      <c r="I47" s="1515"/>
      <c r="J47" s="1515"/>
      <c r="K47" s="1515"/>
      <c r="L47" s="1515"/>
      <c r="M47" s="1515"/>
      <c r="N47" s="1515"/>
      <c r="O47" s="1515"/>
    </row>
    <row r="48" spans="1:15">
      <c r="A48" s="1515"/>
      <c r="B48" s="1515"/>
      <c r="C48" s="1515"/>
      <c r="D48" s="1515"/>
      <c r="E48" s="1515"/>
      <c r="F48" s="1515"/>
      <c r="G48" s="1515"/>
      <c r="H48" s="1515"/>
      <c r="I48" s="1515"/>
      <c r="J48" s="1515"/>
      <c r="K48" s="1515"/>
      <c r="L48" s="1515"/>
      <c r="M48" s="1515"/>
      <c r="N48" s="1515"/>
      <c r="O48" s="1515"/>
    </row>
    <row r="49" spans="1:15">
      <c r="A49" s="1515"/>
      <c r="B49" s="1515"/>
      <c r="C49" s="1515"/>
      <c r="D49" s="1515"/>
      <c r="E49" s="1515"/>
      <c r="F49" s="1515"/>
      <c r="G49" s="1515"/>
      <c r="H49" s="1515"/>
      <c r="I49" s="1515"/>
      <c r="J49" s="1515"/>
      <c r="K49" s="1515"/>
      <c r="L49" s="1515"/>
      <c r="M49" s="1515"/>
      <c r="N49" s="1515"/>
      <c r="O49" s="1515"/>
    </row>
    <row r="50" spans="1:15">
      <c r="A50" s="1515"/>
      <c r="B50" s="1515"/>
      <c r="C50" s="1515"/>
      <c r="D50" s="1515"/>
      <c r="E50" s="1515"/>
      <c r="F50" s="1515"/>
      <c r="G50" s="1515"/>
      <c r="H50" s="1515"/>
      <c r="I50" s="1515"/>
      <c r="J50" s="1515"/>
      <c r="K50" s="1515"/>
      <c r="L50" s="1515"/>
      <c r="M50" s="1515"/>
      <c r="N50" s="1515"/>
      <c r="O50" s="1515"/>
    </row>
    <row r="51" spans="1:15">
      <c r="A51" s="1515"/>
      <c r="B51" s="1515"/>
      <c r="C51" s="1515"/>
      <c r="D51" s="1515"/>
      <c r="E51" s="1515"/>
      <c r="F51" s="1515"/>
      <c r="G51" s="1515"/>
      <c r="H51" s="1515"/>
      <c r="I51" s="1515"/>
      <c r="J51" s="1515"/>
      <c r="K51" s="1515"/>
      <c r="L51" s="1515"/>
      <c r="M51" s="1515"/>
      <c r="N51" s="1515"/>
      <c r="O51" s="1515"/>
    </row>
    <row r="52" spans="1:15">
      <c r="A52" s="1515"/>
      <c r="B52" s="1515"/>
      <c r="C52" s="1515"/>
      <c r="D52" s="1515"/>
      <c r="E52" s="1515"/>
      <c r="F52" s="1515"/>
      <c r="G52" s="1515"/>
      <c r="H52" s="1515"/>
      <c r="I52" s="1515"/>
      <c r="J52" s="1515"/>
      <c r="K52" s="1515"/>
      <c r="L52" s="1515"/>
      <c r="M52" s="1515"/>
      <c r="N52" s="1515"/>
      <c r="O52" s="1515"/>
    </row>
    <row r="53" spans="1:15">
      <c r="A53" s="1515"/>
      <c r="B53" s="1515"/>
      <c r="C53" s="1515"/>
      <c r="D53" s="1515"/>
      <c r="E53" s="1515"/>
      <c r="F53" s="1515"/>
      <c r="G53" s="1515"/>
      <c r="H53" s="1515"/>
      <c r="I53" s="1515"/>
      <c r="J53" s="1515"/>
      <c r="K53" s="1515"/>
      <c r="L53" s="1515"/>
      <c r="M53" s="1515"/>
      <c r="N53" s="1515"/>
      <c r="O53" s="1515"/>
    </row>
    <row r="54" spans="1:15">
      <c r="A54" s="1515"/>
      <c r="B54" s="1515"/>
      <c r="C54" s="1515"/>
      <c r="D54" s="1515"/>
      <c r="E54" s="1515"/>
      <c r="F54" s="1515"/>
      <c r="G54" s="1515"/>
      <c r="H54" s="1515"/>
      <c r="I54" s="1515"/>
      <c r="J54" s="1515"/>
      <c r="K54" s="1515"/>
      <c r="L54" s="1515"/>
      <c r="M54" s="1515"/>
      <c r="N54" s="1515"/>
      <c r="O54" s="1515"/>
    </row>
    <row r="55" spans="1:15">
      <c r="A55" s="1515"/>
      <c r="B55" s="1515"/>
      <c r="C55" s="1515"/>
      <c r="D55" s="1515"/>
      <c r="E55" s="1515"/>
      <c r="F55" s="1515"/>
      <c r="G55" s="1515"/>
      <c r="H55" s="1515"/>
      <c r="I55" s="1515"/>
      <c r="J55" s="1515"/>
      <c r="K55" s="1515"/>
      <c r="L55" s="1515"/>
      <c r="M55" s="1515"/>
      <c r="N55" s="1515"/>
      <c r="O55" s="1515"/>
    </row>
    <row r="56" spans="1:15">
      <c r="A56" s="1515"/>
      <c r="B56" s="1515"/>
      <c r="C56" s="1515"/>
      <c r="D56" s="1515"/>
      <c r="E56" s="1515"/>
      <c r="F56" s="1515"/>
      <c r="G56" s="1515"/>
      <c r="H56" s="1515"/>
      <c r="I56" s="1515"/>
      <c r="J56" s="1515"/>
      <c r="K56" s="1515"/>
      <c r="L56" s="1515"/>
      <c r="M56" s="1515"/>
      <c r="N56" s="1515"/>
      <c r="O56" s="1515"/>
    </row>
    <row r="57" spans="1:15">
      <c r="A57" s="1515"/>
      <c r="B57" s="1515"/>
      <c r="C57" s="1515"/>
      <c r="D57" s="1515"/>
      <c r="E57" s="1515"/>
      <c r="F57" s="1515"/>
      <c r="G57" s="1515"/>
      <c r="H57" s="1515"/>
      <c r="I57" s="1515"/>
      <c r="J57" s="1515"/>
      <c r="K57" s="1515"/>
      <c r="L57" s="1515"/>
      <c r="M57" s="1515"/>
      <c r="N57" s="1515"/>
      <c r="O57" s="1515"/>
    </row>
    <row r="58" spans="1:15">
      <c r="A58" s="1515"/>
      <c r="B58" s="1515"/>
      <c r="C58" s="1515"/>
      <c r="D58" s="1515"/>
      <c r="E58" s="1515"/>
      <c r="F58" s="1515"/>
      <c r="G58" s="1515"/>
      <c r="H58" s="1515"/>
      <c r="I58" s="1515"/>
      <c r="J58" s="1515"/>
      <c r="K58" s="1515"/>
      <c r="L58" s="1515"/>
      <c r="M58" s="1515"/>
      <c r="N58" s="1515"/>
      <c r="O58" s="1515"/>
    </row>
    <row r="59" spans="1:15">
      <c r="B59" s="1515"/>
      <c r="C59" s="1515"/>
      <c r="D59" s="1515"/>
      <c r="E59" s="1515"/>
      <c r="F59" s="1515"/>
      <c r="G59" s="1515"/>
      <c r="H59" s="1515"/>
      <c r="I59" s="1515"/>
      <c r="J59" s="1515"/>
      <c r="K59" s="1515"/>
    </row>
  </sheetData>
  <mergeCells count="1">
    <mergeCell ref="J7:K7"/>
  </mergeCells>
  <conditionalFormatting sqref="F14">
    <cfRule type="expression" dxfId="46" priority="14" stopIfTrue="1">
      <formula>$G$9="Yes"</formula>
    </cfRule>
  </conditionalFormatting>
  <conditionalFormatting sqref="I15">
    <cfRule type="expression" dxfId="45" priority="11" stopIfTrue="1">
      <formula>$G$9="Yes"</formula>
    </cfRule>
  </conditionalFormatting>
  <conditionalFormatting sqref="I14">
    <cfRule type="expression" dxfId="44" priority="10" stopIfTrue="1">
      <formula>$G$9="Yes"</formula>
    </cfRule>
  </conditionalFormatting>
  <conditionalFormatting sqref="G18:G22">
    <cfRule type="expression" dxfId="43" priority="6" stopIfTrue="1">
      <formula>$I$15="Yes"</formula>
    </cfRule>
    <cfRule type="expression" dxfId="42" priority="7" stopIfTrue="1">
      <formula>$I$14="Yes"</formula>
    </cfRule>
  </conditionalFormatting>
  <conditionalFormatting sqref="H18:H22">
    <cfRule type="expression" dxfId="41" priority="5" stopIfTrue="1">
      <formula>$I$14="Yes"</formula>
    </cfRule>
  </conditionalFormatting>
  <conditionalFormatting sqref="F18:F22">
    <cfRule type="expression" dxfId="40" priority="4" stopIfTrue="1">
      <formula>$F$14="Yes"</formula>
    </cfRule>
  </conditionalFormatting>
  <conditionalFormatting sqref="D29:I29">
    <cfRule type="expression" dxfId="39" priority="3" stopIfTrue="1">
      <formula>$D$19=0</formula>
    </cfRule>
  </conditionalFormatting>
  <conditionalFormatting sqref="D30:I30">
    <cfRule type="expression" dxfId="38" priority="2" stopIfTrue="1">
      <formula>$D$20=0</formula>
    </cfRule>
  </conditionalFormatting>
  <conditionalFormatting sqref="D31:I31">
    <cfRule type="expression" dxfId="37" priority="1" stopIfTrue="1">
      <formula>$D$21=0</formula>
    </cfRule>
  </conditionalFormatting>
  <dataValidations count="1">
    <dataValidation allowBlank="1" showInputMessage="1" showErrorMessage="1" prompt="Enter mm/dd/yyyy" sqref="J7:J8"/>
  </dataValidations>
  <pageMargins left="0.7" right="0.7" top="0.75" bottom="0.75" header="0.3" footer="0.3"/>
  <pageSetup scale="69" orientation="landscape" blackAndWhite="1" r:id="rId1"/>
  <legacyDrawing r:id="rId2"/>
</worksheet>
</file>

<file path=xl/worksheets/sheet12.xml><?xml version="1.0" encoding="utf-8"?>
<worksheet xmlns="http://schemas.openxmlformats.org/spreadsheetml/2006/main" xmlns:r="http://schemas.openxmlformats.org/officeDocument/2006/relationships">
  <sheetPr codeName="Sheet35">
    <pageSetUpPr fitToPage="1"/>
  </sheetPr>
  <dimension ref="A1:CW227"/>
  <sheetViews>
    <sheetView showGridLines="0" topLeftCell="A7" zoomScale="85" zoomScaleNormal="85" workbookViewId="0">
      <selection activeCell="G14" sqref="G14"/>
    </sheetView>
  </sheetViews>
  <sheetFormatPr defaultColWidth="8.85546875" defaultRowHeight="12.75"/>
  <cols>
    <col min="1" max="1" width="16.5703125" style="91" customWidth="1"/>
    <col min="2" max="2" width="4.5703125" style="91" customWidth="1"/>
    <col min="3" max="3" width="4.28515625" style="91" customWidth="1"/>
    <col min="4" max="4" width="11.7109375" style="91" customWidth="1"/>
    <col min="5" max="5" width="10.42578125" style="91" customWidth="1"/>
    <col min="6" max="6" width="5.42578125" style="91" customWidth="1"/>
    <col min="7" max="13" width="13.7109375" style="91" customWidth="1"/>
    <col min="14" max="14" width="11.5703125" style="91" customWidth="1"/>
    <col min="15" max="15" width="12.140625" style="91" customWidth="1"/>
    <col min="16" max="16" width="17.85546875" style="91" customWidth="1"/>
    <col min="17" max="17" width="12.140625" style="134" customWidth="1"/>
    <col min="18" max="18" width="17.85546875" style="134" customWidth="1"/>
    <col min="19" max="19" width="12.140625" style="134" customWidth="1"/>
    <col min="20" max="20" width="17.85546875" style="91" customWidth="1"/>
    <col min="21" max="16384" width="8.85546875" style="91"/>
  </cols>
  <sheetData>
    <row r="1" spans="1:101">
      <c r="A1" s="185"/>
      <c r="B1" s="188" t="str">
        <f>TestYear &amp; " Test Year"</f>
        <v>2015 Test Year</v>
      </c>
      <c r="C1" s="297"/>
      <c r="D1" s="186"/>
      <c r="E1" s="185"/>
      <c r="F1" s="185"/>
      <c r="G1" s="185"/>
      <c r="H1" s="185"/>
      <c r="I1" s="185"/>
      <c r="J1" s="185"/>
      <c r="K1" s="185"/>
      <c r="L1" s="185"/>
      <c r="M1" s="185"/>
      <c r="N1" s="307" t="s">
        <v>1109</v>
      </c>
      <c r="O1" s="185"/>
      <c r="P1" s="185"/>
      <c r="CU1" s="93"/>
      <c r="CV1" s="93"/>
      <c r="CW1" s="93"/>
    </row>
    <row r="2" spans="1:101">
      <c r="A2" s="185"/>
      <c r="B2" s="185"/>
      <c r="C2" s="185"/>
      <c r="D2" s="298"/>
      <c r="E2" s="185"/>
      <c r="F2" s="357"/>
      <c r="G2" s="358"/>
      <c r="H2" s="358"/>
      <c r="I2" s="363" t="str">
        <f>Utility</f>
        <v>MADISON WATER UTILITY</v>
      </c>
      <c r="J2" s="358"/>
      <c r="K2" s="358"/>
      <c r="L2" s="358"/>
      <c r="M2" s="358"/>
      <c r="N2" s="358"/>
      <c r="O2" s="359"/>
      <c r="P2" s="359"/>
      <c r="Q2" s="1446"/>
      <c r="R2" s="1446"/>
      <c r="S2" s="1446"/>
      <c r="CU2" s="93"/>
      <c r="CV2" s="177">
        <f>IF(Attach1!C8="100 Cubic Feet (CCF)",1, 2)</f>
        <v>1</v>
      </c>
      <c r="CW2" s="93"/>
    </row>
    <row r="3" spans="1:101">
      <c r="A3" s="185"/>
      <c r="B3" s="185"/>
      <c r="C3" s="185"/>
      <c r="D3" s="185"/>
      <c r="E3" s="185"/>
      <c r="F3" s="185"/>
      <c r="G3" s="185"/>
      <c r="H3" s="185"/>
      <c r="I3" s="191"/>
      <c r="J3" s="185"/>
      <c r="K3" s="185"/>
      <c r="L3" s="185"/>
      <c r="M3" s="185"/>
      <c r="N3" s="185"/>
      <c r="O3" s="185"/>
      <c r="P3" s="185"/>
      <c r="CU3" s="93"/>
      <c r="CV3" s="93"/>
      <c r="CW3" s="93"/>
    </row>
    <row r="4" spans="1:101">
      <c r="A4" s="185"/>
      <c r="B4" s="185"/>
      <c r="C4" s="185"/>
      <c r="D4" s="185"/>
      <c r="E4" s="185"/>
      <c r="F4" s="360"/>
      <c r="G4" s="187"/>
      <c r="H4" s="187"/>
      <c r="I4" s="362" t="s">
        <v>250</v>
      </c>
      <c r="J4" s="187"/>
      <c r="K4" s="187"/>
      <c r="L4" s="187"/>
      <c r="M4" s="187"/>
      <c r="N4" s="187"/>
      <c r="O4" s="361"/>
      <c r="P4" s="361"/>
      <c r="Q4" s="1447"/>
      <c r="R4" s="1447"/>
      <c r="S4" s="1447"/>
    </row>
    <row r="5" spans="1:101" ht="13.5" thickBot="1">
      <c r="A5" s="185"/>
      <c r="B5" s="185"/>
      <c r="C5" s="185"/>
      <c r="D5" s="185"/>
      <c r="E5" s="185"/>
      <c r="F5" s="360"/>
      <c r="G5" s="187"/>
      <c r="H5" s="185"/>
      <c r="I5" s="391" t="s">
        <v>970</v>
      </c>
      <c r="J5" s="187"/>
      <c r="K5" s="187"/>
      <c r="L5" s="187"/>
      <c r="M5" s="187"/>
      <c r="N5" s="187"/>
      <c r="O5" s="361"/>
      <c r="P5" s="361"/>
      <c r="Q5" s="1447"/>
      <c r="R5" s="1447"/>
      <c r="S5" s="1447"/>
    </row>
    <row r="6" spans="1:101" ht="14.25" thickTop="1" thickBot="1">
      <c r="A6" s="185"/>
      <c r="B6" s="392"/>
      <c r="C6" s="393"/>
      <c r="D6" s="394"/>
      <c r="E6" s="393"/>
      <c r="F6" s="393"/>
      <c r="G6" s="393"/>
      <c r="H6" s="393"/>
      <c r="I6" s="393"/>
      <c r="J6" s="393"/>
      <c r="K6" s="393"/>
      <c r="L6" s="393"/>
      <c r="M6" s="393"/>
      <c r="N6" s="395"/>
      <c r="O6" s="185"/>
      <c r="P6" s="185"/>
    </row>
    <row r="7" spans="1:101" ht="15" customHeight="1" thickBot="1">
      <c r="A7" s="185"/>
      <c r="B7" s="396"/>
      <c r="C7" s="397"/>
      <c r="D7" s="397"/>
      <c r="E7" s="398" t="s">
        <v>969</v>
      </c>
      <c r="F7" s="399"/>
      <c r="G7" s="387">
        <f>BillingPeriods</f>
        <v>12</v>
      </c>
      <c r="H7" s="400"/>
      <c r="I7" s="400"/>
      <c r="J7" s="400"/>
      <c r="K7" s="401"/>
      <c r="L7" s="402"/>
      <c r="M7" s="402"/>
      <c r="N7" s="403"/>
      <c r="O7" s="299"/>
      <c r="P7" s="300"/>
      <c r="Q7" s="1448"/>
      <c r="R7" s="1448"/>
      <c r="S7" s="1449"/>
    </row>
    <row r="8" spans="1:101">
      <c r="A8" s="185"/>
      <c r="B8" s="396"/>
      <c r="C8" s="397"/>
      <c r="D8" s="397"/>
      <c r="E8" s="397"/>
      <c r="F8" s="397"/>
      <c r="G8" s="397"/>
      <c r="H8" s="397"/>
      <c r="I8" s="397"/>
      <c r="J8" s="397"/>
      <c r="K8" s="397"/>
      <c r="L8" s="397"/>
      <c r="M8" s="397"/>
      <c r="N8" s="404"/>
      <c r="O8" s="185"/>
      <c r="P8" s="185"/>
    </row>
    <row r="9" spans="1:101" ht="25.5">
      <c r="A9" s="185"/>
      <c r="B9" s="396"/>
      <c r="C9" s="397"/>
      <c r="D9" s="405"/>
      <c r="E9" s="397"/>
      <c r="F9" s="397"/>
      <c r="G9" s="406" t="s">
        <v>9</v>
      </c>
      <c r="H9" s="407" t="s">
        <v>938</v>
      </c>
      <c r="I9" s="406" t="s">
        <v>252</v>
      </c>
      <c r="J9" s="408" t="s">
        <v>10</v>
      </c>
      <c r="K9" s="409" t="s">
        <v>11</v>
      </c>
      <c r="L9" s="408" t="s">
        <v>908</v>
      </c>
      <c r="M9" s="410"/>
      <c r="N9" s="411"/>
      <c r="O9" s="301"/>
      <c r="P9" s="302"/>
      <c r="Q9" s="1450"/>
      <c r="R9" s="1451"/>
      <c r="S9" s="1450"/>
      <c r="T9" s="295"/>
    </row>
    <row r="10" spans="1:101">
      <c r="A10" s="185"/>
      <c r="B10" s="396"/>
      <c r="C10" s="397"/>
      <c r="D10" s="405"/>
      <c r="E10" s="397"/>
      <c r="F10" s="397"/>
      <c r="G10" s="400"/>
      <c r="H10" s="423"/>
      <c r="I10" s="400"/>
      <c r="J10" s="424"/>
      <c r="K10" s="425"/>
      <c r="L10" s="424"/>
      <c r="M10" s="410"/>
      <c r="N10" s="411"/>
      <c r="O10" s="301"/>
      <c r="P10" s="302"/>
      <c r="Q10" s="1450"/>
      <c r="R10" s="1451"/>
      <c r="S10" s="1450"/>
      <c r="T10" s="295"/>
    </row>
    <row r="11" spans="1:101">
      <c r="A11" s="185"/>
      <c r="B11" s="396"/>
      <c r="C11" s="397"/>
      <c r="D11" s="426"/>
      <c r="E11" s="416"/>
      <c r="F11" s="416"/>
      <c r="G11" s="1939" t="s">
        <v>966</v>
      </c>
      <c r="H11" s="1939" t="s">
        <v>966</v>
      </c>
      <c r="I11" s="1939" t="s">
        <v>966</v>
      </c>
      <c r="J11" s="1939" t="s">
        <v>966</v>
      </c>
      <c r="K11" s="1939" t="s">
        <v>966</v>
      </c>
      <c r="L11" s="1939" t="s">
        <v>966</v>
      </c>
      <c r="M11" s="427"/>
      <c r="N11" s="428"/>
      <c r="O11" s="303"/>
      <c r="P11" s="308"/>
      <c r="Q11" s="1452"/>
      <c r="R11" s="1456"/>
      <c r="S11" s="1452"/>
      <c r="T11" s="296"/>
    </row>
    <row r="12" spans="1:101">
      <c r="A12" s="185"/>
      <c r="B12" s="396"/>
      <c r="C12" s="397"/>
      <c r="D12" s="412" t="s">
        <v>236</v>
      </c>
      <c r="E12" s="412" t="s">
        <v>967</v>
      </c>
      <c r="F12" s="429"/>
      <c r="G12" s="1940"/>
      <c r="H12" s="1940"/>
      <c r="I12" s="1940"/>
      <c r="J12" s="1940"/>
      <c r="K12" s="1940"/>
      <c r="L12" s="1940"/>
      <c r="M12" s="430" t="s">
        <v>752</v>
      </c>
      <c r="N12" s="431"/>
      <c r="O12" s="303"/>
      <c r="P12" s="309"/>
      <c r="Q12" s="1452"/>
      <c r="R12" s="1457"/>
      <c r="S12" s="1452"/>
      <c r="T12" s="100"/>
    </row>
    <row r="13" spans="1:101">
      <c r="A13" s="185"/>
      <c r="B13" s="396"/>
      <c r="C13" s="397"/>
      <c r="D13" s="397"/>
      <c r="E13" s="397"/>
      <c r="F13" s="397"/>
      <c r="G13" s="397"/>
      <c r="H13" s="432"/>
      <c r="I13" s="397"/>
      <c r="J13" s="397"/>
      <c r="K13" s="397"/>
      <c r="L13" s="432"/>
      <c r="M13" s="432"/>
      <c r="N13" s="433"/>
      <c r="O13" s="303"/>
      <c r="P13" s="306"/>
      <c r="Q13" s="1452"/>
      <c r="R13" s="1455"/>
      <c r="S13" s="1452"/>
      <c r="T13" s="96"/>
    </row>
    <row r="14" spans="1:101" ht="15" customHeight="1">
      <c r="A14" s="185"/>
      <c r="B14" s="396"/>
      <c r="C14" s="397"/>
      <c r="D14" s="426" t="s">
        <v>258</v>
      </c>
      <c r="E14" s="1787">
        <f>Attach2B!E13</f>
        <v>4.5</v>
      </c>
      <c r="F14" s="417"/>
      <c r="G14" s="334">
        <f>Attach2B!G13+200</f>
        <v>56718</v>
      </c>
      <c r="H14" s="334">
        <v>1025</v>
      </c>
      <c r="I14" s="334">
        <v>2272</v>
      </c>
      <c r="J14" s="334">
        <v>1</v>
      </c>
      <c r="K14" s="334">
        <v>61</v>
      </c>
      <c r="L14" s="334">
        <f>Attach2B!L13</f>
        <v>0</v>
      </c>
      <c r="M14" s="420">
        <f t="shared" ref="M14:M26" si="0">SUM(G14+H14+I14+J14+K14+L14)</f>
        <v>60077</v>
      </c>
      <c r="N14" s="419"/>
      <c r="O14" s="303"/>
      <c r="P14" s="304"/>
      <c r="Q14" s="1452"/>
      <c r="R14" s="1453"/>
      <c r="S14" s="1452"/>
      <c r="T14" s="132"/>
    </row>
    <row r="15" spans="1:101" ht="15" customHeight="1">
      <c r="A15" s="185"/>
      <c r="B15" s="396"/>
      <c r="C15" s="397"/>
      <c r="D15" s="426" t="s">
        <v>259</v>
      </c>
      <c r="E15" s="1787">
        <f>Attach2B!E14</f>
        <v>5.25</v>
      </c>
      <c r="F15" s="417"/>
      <c r="G15" s="335">
        <f>Attach2B!G14</f>
        <v>554</v>
      </c>
      <c r="H15" s="335">
        <v>954</v>
      </c>
      <c r="I15" s="335">
        <v>737</v>
      </c>
      <c r="J15" s="335">
        <v>11</v>
      </c>
      <c r="K15" s="335">
        <v>52</v>
      </c>
      <c r="L15" s="335">
        <f>Attach2B!L14</f>
        <v>0</v>
      </c>
      <c r="M15" s="435">
        <f t="shared" si="0"/>
        <v>2308</v>
      </c>
      <c r="N15" s="419"/>
      <c r="O15" s="303"/>
      <c r="P15" s="304"/>
      <c r="Q15" s="1452"/>
      <c r="R15" s="1453"/>
      <c r="S15" s="1452"/>
      <c r="T15" s="132"/>
    </row>
    <row r="16" spans="1:101" ht="15" customHeight="1">
      <c r="A16" s="185"/>
      <c r="B16" s="396"/>
      <c r="C16" s="397"/>
      <c r="D16" s="426" t="s">
        <v>260</v>
      </c>
      <c r="E16" s="1787">
        <f>Attach2B!E15</f>
        <v>7.75</v>
      </c>
      <c r="F16" s="417"/>
      <c r="G16" s="335">
        <f>Attach2B!G15</f>
        <v>44</v>
      </c>
      <c r="H16" s="335">
        <v>997</v>
      </c>
      <c r="I16" s="335">
        <v>874</v>
      </c>
      <c r="J16" s="335">
        <v>14</v>
      </c>
      <c r="K16" s="335">
        <v>119</v>
      </c>
      <c r="L16" s="335">
        <f>Attach2B!L15</f>
        <v>0</v>
      </c>
      <c r="M16" s="435">
        <f t="shared" si="0"/>
        <v>2048</v>
      </c>
      <c r="N16" s="419"/>
      <c r="O16" s="303"/>
      <c r="P16" s="304"/>
      <c r="Q16" s="1452"/>
      <c r="R16" s="1453"/>
      <c r="S16" s="1452"/>
      <c r="T16" s="132"/>
    </row>
    <row r="17" spans="1:20" ht="15" customHeight="1">
      <c r="A17" s="185"/>
      <c r="B17" s="396"/>
      <c r="C17" s="397"/>
      <c r="D17" s="426" t="s">
        <v>261</v>
      </c>
      <c r="E17" s="1787">
        <f>Attach2B!E16</f>
        <v>10</v>
      </c>
      <c r="F17" s="417"/>
      <c r="G17" s="335">
        <f>Attach2B!G16</f>
        <v>0</v>
      </c>
      <c r="H17" s="335">
        <f>Attach2B!H16</f>
        <v>0</v>
      </c>
      <c r="I17" s="335">
        <f>Attach2B!I16</f>
        <v>0</v>
      </c>
      <c r="J17" s="335">
        <f>Attach2B!J16</f>
        <v>0</v>
      </c>
      <c r="K17" s="335">
        <f>Attach2B!K16</f>
        <v>0</v>
      </c>
      <c r="L17" s="335">
        <f>Attach2B!L16</f>
        <v>0</v>
      </c>
      <c r="M17" s="435">
        <f t="shared" si="0"/>
        <v>0</v>
      </c>
      <c r="N17" s="419"/>
      <c r="O17" s="303"/>
      <c r="P17" s="304"/>
      <c r="Q17" s="1452"/>
      <c r="R17" s="1453"/>
      <c r="S17" s="1452"/>
      <c r="T17" s="132"/>
    </row>
    <row r="18" spans="1:20" ht="15" customHeight="1">
      <c r="A18" s="185"/>
      <c r="B18" s="396"/>
      <c r="C18" s="397"/>
      <c r="D18" s="426" t="s">
        <v>262</v>
      </c>
      <c r="E18" s="1787">
        <f>Attach2B!E17</f>
        <v>12.5</v>
      </c>
      <c r="F18" s="417"/>
      <c r="G18" s="335">
        <f>Attach2B!G17</f>
        <v>0</v>
      </c>
      <c r="H18" s="335">
        <v>597</v>
      </c>
      <c r="I18" s="335">
        <v>434</v>
      </c>
      <c r="J18" s="335">
        <v>5</v>
      </c>
      <c r="K18" s="335">
        <v>51</v>
      </c>
      <c r="L18" s="335">
        <f>Attach2B!L17</f>
        <v>0</v>
      </c>
      <c r="M18" s="435">
        <f t="shared" si="0"/>
        <v>1087</v>
      </c>
      <c r="N18" s="419"/>
      <c r="O18" s="303"/>
      <c r="P18" s="304"/>
      <c r="Q18" s="1452"/>
      <c r="R18" s="1453"/>
      <c r="S18" s="1452"/>
      <c r="T18" s="132"/>
    </row>
    <row r="19" spans="1:20" ht="15" customHeight="1">
      <c r="A19" s="185"/>
      <c r="B19" s="396"/>
      <c r="C19" s="397"/>
      <c r="D19" s="426" t="s">
        <v>263</v>
      </c>
      <c r="E19" s="1787">
        <f>Attach2B!E18</f>
        <v>18.5</v>
      </c>
      <c r="F19" s="417"/>
      <c r="G19" s="335">
        <f>Attach2B!G18</f>
        <v>0</v>
      </c>
      <c r="H19" s="335">
        <v>482</v>
      </c>
      <c r="I19" s="335">
        <v>368</v>
      </c>
      <c r="J19" s="335">
        <v>8</v>
      </c>
      <c r="K19" s="335">
        <v>87</v>
      </c>
      <c r="L19" s="335">
        <f>Attach2B!L18</f>
        <v>0</v>
      </c>
      <c r="M19" s="435">
        <f t="shared" si="0"/>
        <v>945</v>
      </c>
      <c r="N19" s="419"/>
      <c r="O19" s="303"/>
      <c r="P19" s="304"/>
      <c r="Q19" s="1452"/>
      <c r="R19" s="1453"/>
      <c r="S19" s="1452"/>
      <c r="T19" s="132"/>
    </row>
    <row r="20" spans="1:20" ht="15" customHeight="1">
      <c r="A20" s="185"/>
      <c r="B20" s="396"/>
      <c r="C20" s="397"/>
      <c r="D20" s="426" t="s">
        <v>264</v>
      </c>
      <c r="E20" s="1787">
        <f>Attach2B!E19</f>
        <v>0</v>
      </c>
      <c r="F20" s="417"/>
      <c r="G20" s="335">
        <f>Attach2B!G19</f>
        <v>0</v>
      </c>
      <c r="H20" s="335">
        <f>Attach2B!H19</f>
        <v>0</v>
      </c>
      <c r="I20" s="335">
        <f>Attach2B!I19</f>
        <v>0</v>
      </c>
      <c r="J20" s="335">
        <f>Attach2B!J19</f>
        <v>0</v>
      </c>
      <c r="K20" s="335">
        <f>Attach2B!K19</f>
        <v>0</v>
      </c>
      <c r="L20" s="335">
        <f>Attach2B!L19</f>
        <v>0</v>
      </c>
      <c r="M20" s="435">
        <f t="shared" si="0"/>
        <v>0</v>
      </c>
      <c r="N20" s="419"/>
      <c r="O20" s="303"/>
      <c r="P20" s="304"/>
      <c r="Q20" s="1452"/>
      <c r="R20" s="1453"/>
      <c r="S20" s="1452"/>
      <c r="T20" s="132"/>
    </row>
    <row r="21" spans="1:20" ht="15" customHeight="1">
      <c r="A21" s="185"/>
      <c r="B21" s="396"/>
      <c r="C21" s="397"/>
      <c r="D21" s="426" t="s">
        <v>265</v>
      </c>
      <c r="E21" s="1787">
        <f>Attach2B!E20</f>
        <v>30</v>
      </c>
      <c r="F21" s="417"/>
      <c r="G21" s="335">
        <f>Attach2B!G20</f>
        <v>0</v>
      </c>
      <c r="H21" s="335">
        <v>63</v>
      </c>
      <c r="I21" s="335">
        <v>67</v>
      </c>
      <c r="J21" s="335">
        <v>4</v>
      </c>
      <c r="K21" s="335">
        <v>43</v>
      </c>
      <c r="L21" s="335">
        <f>Attach2B!L20</f>
        <v>0</v>
      </c>
      <c r="M21" s="435">
        <f t="shared" si="0"/>
        <v>177</v>
      </c>
      <c r="N21" s="419"/>
      <c r="O21" s="303"/>
      <c r="P21" s="304"/>
      <c r="Q21" s="1452"/>
      <c r="R21" s="1453"/>
      <c r="S21" s="1452"/>
      <c r="T21" s="132"/>
    </row>
    <row r="22" spans="1:20" ht="15" customHeight="1">
      <c r="A22" s="185"/>
      <c r="B22" s="396"/>
      <c r="C22" s="397"/>
      <c r="D22" s="426" t="s">
        <v>266</v>
      </c>
      <c r="E22" s="1787">
        <f>Attach2B!E21</f>
        <v>45</v>
      </c>
      <c r="F22" s="417"/>
      <c r="G22" s="335">
        <f>Attach2B!G21</f>
        <v>0</v>
      </c>
      <c r="H22" s="335">
        <v>6</v>
      </c>
      <c r="I22" s="335">
        <v>34</v>
      </c>
      <c r="J22" s="335">
        <v>4</v>
      </c>
      <c r="K22" s="335">
        <v>48</v>
      </c>
      <c r="L22" s="335">
        <f>Attach2B!L21</f>
        <v>0</v>
      </c>
      <c r="M22" s="435">
        <f t="shared" si="0"/>
        <v>92</v>
      </c>
      <c r="N22" s="419"/>
      <c r="O22" s="303"/>
      <c r="P22" s="304"/>
      <c r="Q22" s="1452"/>
      <c r="R22" s="1453"/>
      <c r="S22" s="1452"/>
      <c r="T22" s="132"/>
    </row>
    <row r="23" spans="1:20" ht="15" customHeight="1">
      <c r="A23" s="185"/>
      <c r="B23" s="396"/>
      <c r="C23" s="397"/>
      <c r="D23" s="426" t="s">
        <v>267</v>
      </c>
      <c r="E23" s="1787">
        <f>Attach2B!E22</f>
        <v>77.5</v>
      </c>
      <c r="F23" s="417"/>
      <c r="G23" s="335">
        <f>Attach2B!G22</f>
        <v>0</v>
      </c>
      <c r="H23" s="335">
        <v>1</v>
      </c>
      <c r="I23" s="335">
        <v>7</v>
      </c>
      <c r="J23" s="335">
        <v>1</v>
      </c>
      <c r="K23" s="335">
        <f>1+5+8+2</f>
        <v>16</v>
      </c>
      <c r="L23" s="335">
        <f>Attach2B!L22</f>
        <v>0</v>
      </c>
      <c r="M23" s="435">
        <f t="shared" si="0"/>
        <v>25</v>
      </c>
      <c r="N23" s="419"/>
      <c r="O23" s="303"/>
      <c r="P23" s="304"/>
      <c r="Q23" s="1452"/>
      <c r="R23" s="1453"/>
      <c r="S23" s="1452"/>
      <c r="T23" s="132"/>
    </row>
    <row r="24" spans="1:20" ht="15" customHeight="1">
      <c r="A24" s="185"/>
      <c r="B24" s="396"/>
      <c r="C24" s="397"/>
      <c r="D24" s="426" t="s">
        <v>268</v>
      </c>
      <c r="E24" s="1787">
        <f>Attach2B!E23</f>
        <v>120</v>
      </c>
      <c r="F24" s="417"/>
      <c r="G24" s="335">
        <f>Attach2B!G23</f>
        <v>0</v>
      </c>
      <c r="H24" s="335">
        <f>Attach2B!H23</f>
        <v>0</v>
      </c>
      <c r="I24" s="335">
        <v>2</v>
      </c>
      <c r="J24" s="335">
        <v>0</v>
      </c>
      <c r="K24" s="335">
        <v>4</v>
      </c>
      <c r="L24" s="335">
        <f>Attach2B!L23</f>
        <v>0</v>
      </c>
      <c r="M24" s="435">
        <f t="shared" si="0"/>
        <v>6</v>
      </c>
      <c r="N24" s="419"/>
      <c r="O24" s="303"/>
      <c r="P24" s="304"/>
      <c r="Q24" s="1452"/>
      <c r="R24" s="1453"/>
      <c r="S24" s="1452"/>
      <c r="T24" s="132"/>
    </row>
    <row r="25" spans="1:20" ht="15" customHeight="1">
      <c r="A25" s="185"/>
      <c r="B25" s="396"/>
      <c r="C25" s="397"/>
      <c r="D25" s="426" t="s">
        <v>269</v>
      </c>
      <c r="E25" s="1787">
        <f>Attach2B!E24</f>
        <v>176</v>
      </c>
      <c r="F25" s="417"/>
      <c r="G25" s="335">
        <f>Attach2B!G24</f>
        <v>0</v>
      </c>
      <c r="H25" s="335">
        <f>Attach2B!H24</f>
        <v>0</v>
      </c>
      <c r="I25" s="335">
        <f>Attach2B!I24</f>
        <v>0</v>
      </c>
      <c r="J25" s="335">
        <f>Attach2B!J24</f>
        <v>0</v>
      </c>
      <c r="K25" s="335">
        <v>5</v>
      </c>
      <c r="L25" s="335">
        <f>Attach2B!L24</f>
        <v>0</v>
      </c>
      <c r="M25" s="435">
        <f t="shared" si="0"/>
        <v>5</v>
      </c>
      <c r="N25" s="419"/>
      <c r="O25" s="303"/>
      <c r="P25" s="304"/>
      <c r="Q25" s="1452"/>
      <c r="R25" s="1453"/>
      <c r="S25" s="1452"/>
      <c r="T25" s="132"/>
    </row>
    <row r="26" spans="1:20" ht="15" customHeight="1">
      <c r="A26" s="185"/>
      <c r="B26" s="396"/>
      <c r="C26" s="397"/>
      <c r="D26" s="426" t="s">
        <v>270</v>
      </c>
      <c r="E26" s="1787">
        <f>Attach2B!E25</f>
        <v>235</v>
      </c>
      <c r="F26" s="417"/>
      <c r="G26" s="336">
        <f>Attach2B!G25</f>
        <v>0</v>
      </c>
      <c r="H26" s="336">
        <f>Attach2B!H25</f>
        <v>0</v>
      </c>
      <c r="I26" s="336">
        <f>Attach2B!I25</f>
        <v>0</v>
      </c>
      <c r="J26" s="336">
        <f>Attach2B!J25</f>
        <v>0</v>
      </c>
      <c r="K26" s="336">
        <v>0</v>
      </c>
      <c r="L26" s="336">
        <f>Attach2B!L25</f>
        <v>0</v>
      </c>
      <c r="M26" s="422">
        <f t="shared" si="0"/>
        <v>0</v>
      </c>
      <c r="N26" s="419"/>
      <c r="O26" s="303"/>
      <c r="P26" s="304"/>
      <c r="Q26" s="1452"/>
      <c r="R26" s="1453"/>
      <c r="S26" s="1452"/>
      <c r="T26" s="132"/>
    </row>
    <row r="27" spans="1:20" ht="15" customHeight="1">
      <c r="A27" s="185"/>
      <c r="B27" s="396"/>
      <c r="C27" s="397"/>
      <c r="D27" s="397"/>
      <c r="E27" s="397"/>
      <c r="F27" s="397"/>
      <c r="G27" s="437"/>
      <c r="H27" s="437"/>
      <c r="I27" s="437"/>
      <c r="J27" s="437"/>
      <c r="K27" s="437"/>
      <c r="L27" s="437"/>
      <c r="M27" s="437"/>
      <c r="N27" s="438"/>
      <c r="O27" s="310"/>
      <c r="P27" s="310"/>
      <c r="Q27" s="1458"/>
      <c r="R27" s="1459"/>
      <c r="S27" s="1458"/>
      <c r="T27" s="101"/>
    </row>
    <row r="28" spans="1:20" ht="15" customHeight="1">
      <c r="A28" s="185"/>
      <c r="B28" s="396"/>
      <c r="C28" s="397"/>
      <c r="D28" s="414"/>
      <c r="E28" s="421" t="s">
        <v>962</v>
      </c>
      <c r="F28" s="397"/>
      <c r="G28" s="418">
        <f t="shared" ref="G28:M28" si="1">SUM(G14:G26)</f>
        <v>57316</v>
      </c>
      <c r="H28" s="418">
        <f t="shared" si="1"/>
        <v>4125</v>
      </c>
      <c r="I28" s="418">
        <f t="shared" si="1"/>
        <v>4795</v>
      </c>
      <c r="J28" s="418">
        <f t="shared" si="1"/>
        <v>48</v>
      </c>
      <c r="K28" s="418">
        <f t="shared" si="1"/>
        <v>486</v>
      </c>
      <c r="L28" s="418">
        <f t="shared" si="1"/>
        <v>0</v>
      </c>
      <c r="M28" s="418">
        <f t="shared" si="1"/>
        <v>66770</v>
      </c>
      <c r="N28" s="419"/>
      <c r="O28" s="305"/>
      <c r="P28" s="304"/>
      <c r="Q28" s="1454"/>
      <c r="R28" s="1453"/>
      <c r="S28" s="1454"/>
      <c r="T28" s="132"/>
    </row>
    <row r="29" spans="1:20" ht="15" customHeight="1" thickBot="1">
      <c r="A29" s="185"/>
      <c r="B29" s="396"/>
      <c r="C29" s="397"/>
      <c r="D29" s="414"/>
      <c r="E29" s="421" t="s">
        <v>963</v>
      </c>
      <c r="F29" s="397"/>
      <c r="G29" s="439">
        <f t="shared" ref="G29:M29" si="2">SUM(PRODUCT(G14,$E$14),PRODUCT(G15,$E$15),PRODUCT(G16,$E$16),PRODUCT(G17,$E$17),PRODUCT(G18,$E$18),PRODUCT(G19,$E$19),PRODUCT(G20,$E$20),PRODUCT(G21,$E$21),PRODUCT(G22,$E$22),PRODUCT(G23,$E$23),PRODUCT(G24,$E$24),PRODUCT(G25,$E$25),PRODUCT(G26,$E$26))*BillingPeriods</f>
        <v>3101766</v>
      </c>
      <c r="H29" s="439">
        <f t="shared" si="2"/>
        <v>431577</v>
      </c>
      <c r="I29" s="439">
        <f t="shared" si="2"/>
        <v>449067</v>
      </c>
      <c r="J29" s="439">
        <f t="shared" si="2"/>
        <v>9105</v>
      </c>
      <c r="K29" s="439">
        <f t="shared" si="2"/>
        <v>117201</v>
      </c>
      <c r="L29" s="439">
        <f t="shared" si="2"/>
        <v>0</v>
      </c>
      <c r="M29" s="439">
        <f t="shared" si="2"/>
        <v>4108716</v>
      </c>
      <c r="N29" s="440"/>
      <c r="O29" s="311"/>
      <c r="P29" s="312"/>
      <c r="Q29" s="1460"/>
      <c r="R29" s="1460"/>
      <c r="S29" s="1461"/>
      <c r="T29" s="102"/>
    </row>
    <row r="30" spans="1:20" ht="15" customHeight="1" thickTop="1">
      <c r="A30" s="185"/>
      <c r="B30" s="396"/>
      <c r="C30" s="397"/>
      <c r="D30" s="414"/>
      <c r="E30" s="421"/>
      <c r="F30" s="397"/>
      <c r="G30" s="434"/>
      <c r="H30" s="441"/>
      <c r="I30" s="441"/>
      <c r="J30" s="441"/>
      <c r="K30" s="434"/>
      <c r="L30" s="441"/>
      <c r="M30" s="434"/>
      <c r="N30" s="440"/>
      <c r="O30" s="311"/>
      <c r="P30" s="312"/>
      <c r="Q30" s="1460"/>
      <c r="R30" s="1460"/>
      <c r="S30" s="1461"/>
      <c r="T30" s="102"/>
    </row>
    <row r="31" spans="1:20" ht="15" customHeight="1">
      <c r="A31" s="185"/>
      <c r="B31" s="396"/>
      <c r="C31" s="397"/>
      <c r="D31" s="414"/>
      <c r="E31" s="421" t="s">
        <v>1007</v>
      </c>
      <c r="F31" s="397"/>
      <c r="G31" s="1797">
        <f>Attach3A!D35</f>
        <v>8248569.4443385331</v>
      </c>
      <c r="H31" s="1797">
        <f>Attach3A!E35</f>
        <v>4276493.9608851075</v>
      </c>
      <c r="I31" s="1797">
        <f>Attach3A!F35</f>
        <v>3696137.96</v>
      </c>
      <c r="J31" s="1797">
        <f>Attach3A!G35</f>
        <v>1065527.2372747476</v>
      </c>
      <c r="K31" s="1797">
        <f>Attach3A!H35</f>
        <v>2632832.3689814568</v>
      </c>
      <c r="L31" s="1797">
        <f>Attach3A!I35</f>
        <v>0</v>
      </c>
      <c r="M31" s="1797">
        <f>Attach3A!J35</f>
        <v>19919560.971479848</v>
      </c>
      <c r="N31" s="440"/>
      <c r="O31" s="311"/>
      <c r="P31" s="312"/>
      <c r="Q31" s="1460"/>
      <c r="R31" s="1460"/>
      <c r="S31" s="1461"/>
      <c r="T31" s="102"/>
    </row>
    <row r="32" spans="1:20" ht="15" customHeight="1">
      <c r="A32" s="185"/>
      <c r="B32" s="396"/>
      <c r="C32" s="397"/>
      <c r="D32" s="414"/>
      <c r="E32" s="421"/>
      <c r="F32" s="397"/>
      <c r="G32" s="434"/>
      <c r="H32" s="441"/>
      <c r="I32" s="441"/>
      <c r="J32" s="441"/>
      <c r="K32" s="434"/>
      <c r="L32" s="441"/>
      <c r="M32" s="434"/>
      <c r="N32" s="440"/>
      <c r="O32" s="311"/>
      <c r="P32" s="312"/>
      <c r="Q32" s="1460"/>
      <c r="R32" s="1460"/>
      <c r="S32" s="1461"/>
      <c r="T32" s="102"/>
    </row>
    <row r="33" spans="1:20" ht="15" customHeight="1">
      <c r="A33" s="185"/>
      <c r="B33" s="396"/>
      <c r="C33" s="397"/>
      <c r="D33" s="414"/>
      <c r="E33" s="421" t="s">
        <v>271</v>
      </c>
      <c r="F33" s="397"/>
      <c r="G33" s="342">
        <v>0</v>
      </c>
      <c r="H33" s="342">
        <v>0</v>
      </c>
      <c r="I33" s="342">
        <v>0</v>
      </c>
      <c r="J33" s="342">
        <v>0</v>
      </c>
      <c r="K33" s="342">
        <v>0</v>
      </c>
      <c r="L33" s="342">
        <v>0</v>
      </c>
      <c r="M33" s="1805">
        <f>SUM(G33:L33)</f>
        <v>0</v>
      </c>
      <c r="N33" s="442"/>
      <c r="O33" s="311"/>
      <c r="P33" s="314"/>
      <c r="Q33" s="1462"/>
      <c r="R33" s="1462"/>
      <c r="S33" s="1463"/>
      <c r="T33" s="105"/>
    </row>
    <row r="34" spans="1:20" ht="15" customHeight="1">
      <c r="A34" s="185"/>
      <c r="B34" s="396"/>
      <c r="C34" s="397"/>
      <c r="D34" s="397"/>
      <c r="E34" s="397"/>
      <c r="F34" s="397"/>
      <c r="G34" s="443"/>
      <c r="H34" s="443"/>
      <c r="I34" s="443"/>
      <c r="J34" s="443"/>
      <c r="K34" s="443"/>
      <c r="L34" s="443"/>
      <c r="M34" s="443"/>
      <c r="N34" s="444"/>
      <c r="O34" s="311"/>
      <c r="P34" s="315"/>
      <c r="Q34" s="1464"/>
      <c r="R34" s="1465"/>
      <c r="S34" s="1466"/>
      <c r="T34" s="97"/>
    </row>
    <row r="35" spans="1:20" ht="15" customHeight="1" thickBot="1">
      <c r="A35" s="185"/>
      <c r="B35" s="415"/>
      <c r="C35" s="397"/>
      <c r="D35" s="397"/>
      <c r="E35" s="421" t="s">
        <v>971</v>
      </c>
      <c r="F35" s="397"/>
      <c r="G35" s="446">
        <f>SUM(G29+G33+G31)</f>
        <v>11350335.444338534</v>
      </c>
      <c r="H35" s="446">
        <f t="shared" ref="H35:M35" si="3">SUM(H29+H33+H31)</f>
        <v>4708070.9608851075</v>
      </c>
      <c r="I35" s="446">
        <f t="shared" si="3"/>
        <v>4145204.96</v>
      </c>
      <c r="J35" s="446">
        <f t="shared" si="3"/>
        <v>1074632.2372747476</v>
      </c>
      <c r="K35" s="446">
        <f t="shared" si="3"/>
        <v>2750033.3689814568</v>
      </c>
      <c r="L35" s="446">
        <f t="shared" si="3"/>
        <v>0</v>
      </c>
      <c r="M35" s="446">
        <f t="shared" si="3"/>
        <v>24028276.971479848</v>
      </c>
      <c r="N35" s="419"/>
      <c r="O35" s="316"/>
      <c r="P35" s="304"/>
      <c r="Q35" s="1453"/>
      <c r="R35" s="1453"/>
      <c r="S35" s="135"/>
      <c r="T35" s="132"/>
    </row>
    <row r="36" spans="1:20" ht="15" customHeight="1" thickTop="1">
      <c r="A36" s="185"/>
      <c r="B36" s="415"/>
      <c r="C36" s="397"/>
      <c r="D36" s="397"/>
      <c r="E36" s="421"/>
      <c r="F36" s="397"/>
      <c r="G36" s="434"/>
      <c r="H36" s="434"/>
      <c r="I36" s="434"/>
      <c r="J36" s="434"/>
      <c r="K36" s="434"/>
      <c r="L36" s="434"/>
      <c r="M36" s="434"/>
      <c r="N36" s="445"/>
      <c r="O36" s="303"/>
      <c r="P36" s="311"/>
      <c r="Q36" s="1463"/>
      <c r="R36" s="1463"/>
      <c r="S36" s="1452"/>
      <c r="T36" s="103"/>
    </row>
    <row r="37" spans="1:20" ht="15" customHeight="1">
      <c r="A37" s="185"/>
      <c r="B37" s="415"/>
      <c r="C37" s="397"/>
      <c r="D37" s="397"/>
      <c r="E37" s="421"/>
      <c r="F37" s="397"/>
      <c r="G37" s="451"/>
      <c r="H37" s="451"/>
      <c r="I37" s="451"/>
      <c r="J37" s="451"/>
      <c r="K37" s="451"/>
      <c r="L37" s="451"/>
      <c r="M37" s="451"/>
      <c r="N37" s="442"/>
      <c r="O37" s="317"/>
      <c r="P37" s="318"/>
      <c r="Q37" s="1467"/>
      <c r="R37" s="1467"/>
      <c r="S37" s="1468"/>
      <c r="T37" s="102"/>
    </row>
    <row r="38" spans="1:20" ht="27" customHeight="1">
      <c r="A38" s="185"/>
      <c r="B38" s="415"/>
      <c r="C38" s="397"/>
      <c r="D38" s="1941" t="s">
        <v>292</v>
      </c>
      <c r="E38" s="1941"/>
      <c r="F38" s="1941"/>
      <c r="G38" s="434"/>
      <c r="H38" s="434"/>
      <c r="I38" s="434"/>
      <c r="J38" s="434"/>
      <c r="K38" s="434"/>
      <c r="L38" s="434"/>
      <c r="M38" s="434"/>
      <c r="N38" s="445"/>
      <c r="O38" s="303"/>
      <c r="P38" s="311"/>
      <c r="Q38" s="1463"/>
      <c r="R38" s="1463"/>
      <c r="S38" s="1452"/>
      <c r="T38" s="103"/>
    </row>
    <row r="39" spans="1:20" ht="15" customHeight="1">
      <c r="A39" s="185"/>
      <c r="B39" s="415"/>
      <c r="C39" s="397"/>
      <c r="D39" s="397"/>
      <c r="E39" s="397" t="s">
        <v>293</v>
      </c>
      <c r="F39" s="452" t="s">
        <v>257</v>
      </c>
      <c r="G39" s="454"/>
      <c r="H39" s="452"/>
      <c r="I39" s="452"/>
      <c r="J39" s="452"/>
      <c r="K39" s="452"/>
      <c r="L39" s="452"/>
      <c r="M39" s="452"/>
      <c r="N39" s="419"/>
      <c r="O39" s="316"/>
      <c r="P39" s="304"/>
      <c r="Q39" s="1453"/>
      <c r="R39" s="1453"/>
      <c r="S39" s="135"/>
      <c r="T39" s="132"/>
    </row>
    <row r="40" spans="1:20" ht="15" customHeight="1">
      <c r="A40" s="185"/>
      <c r="B40" s="415"/>
      <c r="C40" s="455"/>
      <c r="D40" s="456" t="s">
        <v>294</v>
      </c>
      <c r="E40" s="455" t="s">
        <v>285</v>
      </c>
      <c r="F40" s="436" t="s">
        <v>295</v>
      </c>
      <c r="G40" s="454"/>
      <c r="H40" s="434"/>
      <c r="I40" s="434"/>
      <c r="J40" s="434"/>
      <c r="K40" s="434"/>
      <c r="L40" s="434"/>
      <c r="M40" s="434"/>
      <c r="N40" s="445"/>
      <c r="O40" s="303"/>
      <c r="P40" s="311"/>
      <c r="Q40" s="1463"/>
      <c r="R40" s="1463"/>
      <c r="S40" s="1452"/>
      <c r="T40" s="94"/>
    </row>
    <row r="41" spans="1:20" ht="15" customHeight="1">
      <c r="A41" s="185"/>
      <c r="B41" s="415"/>
      <c r="C41" s="397"/>
      <c r="D41" s="413" t="s">
        <v>9</v>
      </c>
      <c r="E41" s="457">
        <v>200</v>
      </c>
      <c r="F41" s="1824" t="s">
        <v>258</v>
      </c>
      <c r="G41" s="453"/>
      <c r="H41" s="453"/>
      <c r="I41" s="453"/>
      <c r="J41" s="453"/>
      <c r="K41" s="453"/>
      <c r="L41" s="453"/>
      <c r="M41" s="453"/>
      <c r="N41" s="447"/>
      <c r="O41" s="316"/>
      <c r="P41" s="319"/>
      <c r="Q41" s="1469"/>
      <c r="R41" s="1469"/>
      <c r="S41" s="135"/>
      <c r="T41" s="172"/>
    </row>
    <row r="42" spans="1:20">
      <c r="A42" s="185"/>
      <c r="B42" s="396"/>
      <c r="C42" s="397"/>
      <c r="D42" s="397" t="s">
        <v>939</v>
      </c>
      <c r="E42" s="457">
        <v>0</v>
      </c>
      <c r="F42" s="458"/>
      <c r="G42" s="397"/>
      <c r="H42" s="434"/>
      <c r="I42" s="434"/>
      <c r="J42" s="434"/>
      <c r="K42" s="397"/>
      <c r="L42" s="434"/>
      <c r="M42" s="397"/>
      <c r="N42" s="445"/>
      <c r="O42" s="185"/>
      <c r="P42" s="320"/>
      <c r="Q42" s="1470"/>
      <c r="R42" s="1470"/>
      <c r="T42" s="104"/>
    </row>
    <row r="43" spans="1:20">
      <c r="A43" s="185"/>
      <c r="B43" s="396"/>
      <c r="C43" s="397"/>
      <c r="D43" s="397" t="s">
        <v>252</v>
      </c>
      <c r="E43" s="457">
        <v>0</v>
      </c>
      <c r="F43" s="458"/>
      <c r="G43" s="397"/>
      <c r="H43" s="397"/>
      <c r="I43" s="397"/>
      <c r="J43" s="397"/>
      <c r="K43" s="397"/>
      <c r="L43" s="397"/>
      <c r="M43" s="397"/>
      <c r="N43" s="404"/>
      <c r="O43" s="185"/>
      <c r="P43" s="185"/>
    </row>
    <row r="44" spans="1:20">
      <c r="A44" s="185"/>
      <c r="B44" s="396"/>
      <c r="C44" s="397"/>
      <c r="D44" s="397" t="s">
        <v>10</v>
      </c>
      <c r="E44" s="457">
        <v>0</v>
      </c>
      <c r="F44" s="458"/>
      <c r="G44" s="397"/>
      <c r="H44" s="397"/>
      <c r="I44" s="397"/>
      <c r="J44" s="397"/>
      <c r="K44" s="397"/>
      <c r="L44" s="397"/>
      <c r="M44" s="397"/>
      <c r="N44" s="404"/>
      <c r="O44" s="185"/>
      <c r="P44" s="185"/>
    </row>
    <row r="45" spans="1:20">
      <c r="A45" s="185"/>
      <c r="B45" s="396"/>
      <c r="C45" s="397"/>
      <c r="D45" s="397" t="s">
        <v>296</v>
      </c>
      <c r="E45" s="457">
        <v>0</v>
      </c>
      <c r="F45" s="458"/>
      <c r="G45" s="397"/>
      <c r="H45" s="397"/>
      <c r="I45" s="397"/>
      <c r="J45" s="397"/>
      <c r="K45" s="397"/>
      <c r="L45" s="397"/>
      <c r="M45" s="397"/>
      <c r="N45" s="404"/>
      <c r="O45" s="185"/>
      <c r="P45" s="185"/>
    </row>
    <row r="46" spans="1:20">
      <c r="A46" s="185"/>
      <c r="B46" s="396"/>
      <c r="C46" s="397"/>
      <c r="D46" s="397" t="s">
        <v>908</v>
      </c>
      <c r="E46" s="457">
        <v>0</v>
      </c>
      <c r="F46" s="458"/>
      <c r="G46" s="397"/>
      <c r="H46" s="397"/>
      <c r="I46" s="397"/>
      <c r="J46" s="397"/>
      <c r="K46" s="397"/>
      <c r="L46" s="397"/>
      <c r="M46" s="397"/>
      <c r="N46" s="404"/>
      <c r="O46" s="185"/>
      <c r="P46" s="185"/>
    </row>
    <row r="47" spans="1:20" ht="18" customHeight="1">
      <c r="A47" s="185"/>
      <c r="B47" s="415"/>
      <c r="C47" s="414"/>
      <c r="D47" s="414" t="s">
        <v>253</v>
      </c>
      <c r="E47" s="459">
        <f>SUM(E41:E46)</f>
        <v>200</v>
      </c>
      <c r="F47" s="454"/>
      <c r="G47" s="414"/>
      <c r="H47" s="414"/>
      <c r="I47" s="414"/>
      <c r="J47" s="414"/>
      <c r="K47" s="414"/>
      <c r="L47" s="414"/>
      <c r="M47" s="414"/>
      <c r="N47" s="403"/>
      <c r="O47" s="185"/>
      <c r="P47" s="185"/>
    </row>
    <row r="48" spans="1:20" ht="13.5" thickBot="1">
      <c r="A48" s="185"/>
      <c r="B48" s="448"/>
      <c r="C48" s="449"/>
      <c r="D48" s="449"/>
      <c r="E48" s="449"/>
      <c r="F48" s="449"/>
      <c r="G48" s="449"/>
      <c r="H48" s="449"/>
      <c r="I48" s="449"/>
      <c r="J48" s="449"/>
      <c r="K48" s="449"/>
      <c r="L48" s="449"/>
      <c r="M48" s="449"/>
      <c r="N48" s="450"/>
      <c r="O48" s="185"/>
      <c r="P48" s="185"/>
    </row>
    <row r="49" spans="1:16" ht="13.5" thickTop="1">
      <c r="A49" s="185"/>
      <c r="B49" s="185"/>
      <c r="C49" s="185"/>
      <c r="D49" s="185"/>
      <c r="E49" s="185"/>
      <c r="F49" s="185"/>
      <c r="G49" s="185"/>
      <c r="H49" s="185"/>
      <c r="I49" s="185"/>
      <c r="J49" s="185"/>
      <c r="K49" s="185"/>
      <c r="L49" s="185"/>
      <c r="M49" s="185"/>
      <c r="N49" s="185"/>
      <c r="O49" s="185"/>
      <c r="P49" s="185"/>
    </row>
    <row r="50" spans="1:16">
      <c r="A50" s="185"/>
      <c r="B50" s="185"/>
      <c r="C50" s="185"/>
      <c r="D50" s="185"/>
      <c r="E50" s="185"/>
      <c r="F50" s="185"/>
      <c r="G50" s="185"/>
      <c r="H50" s="185"/>
      <c r="I50" s="185"/>
      <c r="J50" s="185"/>
      <c r="K50" s="185"/>
      <c r="L50" s="185"/>
      <c r="M50" s="185"/>
      <c r="N50" s="185"/>
      <c r="O50" s="185"/>
      <c r="P50" s="185"/>
    </row>
    <row r="51" spans="1:16">
      <c r="A51" s="185"/>
      <c r="B51" s="185"/>
      <c r="C51" s="185"/>
      <c r="D51" s="185"/>
      <c r="E51" s="185"/>
      <c r="F51" s="185"/>
      <c r="G51" s="185"/>
      <c r="H51" s="185"/>
      <c r="I51" s="185"/>
      <c r="J51" s="185"/>
      <c r="K51" s="185"/>
      <c r="L51" s="185"/>
      <c r="M51" s="185"/>
      <c r="N51" s="185"/>
      <c r="O51" s="185"/>
      <c r="P51" s="185"/>
    </row>
    <row r="52" spans="1:16">
      <c r="A52" s="185"/>
      <c r="B52" s="185"/>
      <c r="C52" s="185"/>
      <c r="D52" s="185"/>
      <c r="E52" s="185"/>
      <c r="F52" s="185"/>
      <c r="G52" s="185"/>
      <c r="H52" s="185"/>
      <c r="I52" s="185"/>
      <c r="J52" s="185"/>
      <c r="K52" s="185"/>
      <c r="L52" s="185"/>
      <c r="M52" s="185"/>
      <c r="N52" s="185"/>
      <c r="O52" s="185"/>
      <c r="P52" s="185"/>
    </row>
    <row r="53" spans="1:16">
      <c r="A53" s="185"/>
      <c r="B53" s="185"/>
      <c r="C53" s="185"/>
      <c r="D53" s="185"/>
      <c r="E53" s="185"/>
      <c r="F53" s="185"/>
      <c r="G53" s="185"/>
      <c r="H53" s="185"/>
      <c r="I53" s="185"/>
      <c r="J53" s="185"/>
      <c r="K53" s="185"/>
      <c r="L53" s="185"/>
      <c r="M53" s="185"/>
      <c r="N53" s="185"/>
      <c r="O53" s="185"/>
      <c r="P53" s="185"/>
    </row>
    <row r="54" spans="1:16">
      <c r="A54" s="185"/>
      <c r="B54" s="185"/>
      <c r="C54" s="185"/>
      <c r="D54" s="185"/>
      <c r="E54" s="185"/>
      <c r="F54" s="185"/>
      <c r="G54" s="185"/>
      <c r="H54" s="185"/>
      <c r="I54" s="185"/>
      <c r="J54" s="185"/>
      <c r="K54" s="185"/>
      <c r="L54" s="185"/>
      <c r="M54" s="185"/>
      <c r="N54" s="185"/>
      <c r="O54" s="185"/>
      <c r="P54" s="185"/>
    </row>
    <row r="55" spans="1:16">
      <c r="A55" s="185"/>
      <c r="B55" s="185"/>
      <c r="C55" s="185"/>
      <c r="D55" s="185"/>
      <c r="E55" s="185"/>
      <c r="F55" s="185"/>
      <c r="G55" s="185"/>
      <c r="H55" s="185"/>
      <c r="I55" s="185"/>
      <c r="J55" s="185"/>
      <c r="K55" s="185"/>
      <c r="L55" s="185"/>
      <c r="M55" s="185"/>
      <c r="N55" s="185"/>
      <c r="O55" s="185"/>
      <c r="P55" s="185"/>
    </row>
    <row r="56" spans="1:16">
      <c r="A56" s="185"/>
      <c r="B56" s="185"/>
      <c r="C56" s="185"/>
      <c r="D56" s="185"/>
      <c r="E56" s="185"/>
      <c r="F56" s="185"/>
      <c r="G56" s="185"/>
      <c r="H56" s="185"/>
      <c r="I56" s="185"/>
      <c r="J56" s="185"/>
      <c r="K56" s="185"/>
      <c r="L56" s="185"/>
      <c r="M56" s="185"/>
      <c r="N56" s="185"/>
      <c r="O56" s="185"/>
      <c r="P56" s="185"/>
    </row>
    <row r="57" spans="1:16">
      <c r="A57" s="185"/>
      <c r="B57" s="185"/>
      <c r="C57" s="185"/>
      <c r="D57" s="185"/>
      <c r="E57" s="185"/>
      <c r="F57" s="185"/>
      <c r="G57" s="185"/>
      <c r="H57" s="185"/>
      <c r="I57" s="185"/>
      <c r="J57" s="185"/>
      <c r="K57" s="185"/>
      <c r="L57" s="185"/>
      <c r="M57" s="185"/>
      <c r="N57" s="185"/>
      <c r="O57" s="185"/>
      <c r="P57" s="185"/>
    </row>
    <row r="58" spans="1:16">
      <c r="A58" s="185"/>
      <c r="B58" s="185"/>
      <c r="C58" s="185"/>
      <c r="D58" s="185"/>
      <c r="E58" s="185"/>
      <c r="F58" s="185"/>
      <c r="G58" s="185"/>
      <c r="H58" s="185"/>
      <c r="I58" s="185"/>
      <c r="J58" s="185"/>
      <c r="K58" s="185"/>
      <c r="L58" s="185"/>
      <c r="M58" s="185"/>
      <c r="N58" s="185"/>
      <c r="O58" s="185"/>
      <c r="P58" s="185"/>
    </row>
    <row r="59" spans="1:16">
      <c r="A59" s="185"/>
      <c r="B59" s="185"/>
      <c r="C59" s="185"/>
      <c r="D59" s="185"/>
      <c r="E59" s="185"/>
      <c r="F59" s="185"/>
      <c r="G59" s="185"/>
      <c r="H59" s="185"/>
      <c r="I59" s="185"/>
      <c r="J59" s="185"/>
      <c r="K59" s="185"/>
      <c r="L59" s="185"/>
      <c r="M59" s="185"/>
      <c r="N59" s="185"/>
      <c r="O59" s="185"/>
      <c r="P59" s="185"/>
    </row>
    <row r="60" spans="1:16">
      <c r="A60" s="185"/>
      <c r="B60" s="185"/>
      <c r="C60" s="185"/>
      <c r="D60" s="185"/>
      <c r="E60" s="185"/>
      <c r="F60" s="185"/>
      <c r="G60" s="185"/>
      <c r="H60" s="185"/>
      <c r="I60" s="185"/>
      <c r="J60" s="185"/>
      <c r="K60" s="185"/>
      <c r="L60" s="185"/>
      <c r="M60" s="185"/>
      <c r="N60" s="185"/>
      <c r="O60" s="185"/>
      <c r="P60" s="185"/>
    </row>
    <row r="61" spans="1:16">
      <c r="A61" s="185"/>
      <c r="B61" s="185"/>
      <c r="C61" s="185"/>
      <c r="D61" s="185"/>
      <c r="E61" s="185"/>
      <c r="F61" s="185"/>
      <c r="G61" s="185"/>
      <c r="H61" s="185"/>
      <c r="I61" s="185"/>
      <c r="J61" s="185"/>
      <c r="K61" s="185"/>
      <c r="L61" s="185"/>
      <c r="M61" s="185"/>
      <c r="N61" s="185"/>
      <c r="O61" s="185"/>
      <c r="P61" s="185"/>
    </row>
    <row r="62" spans="1:16">
      <c r="A62" s="185"/>
      <c r="B62" s="185"/>
      <c r="C62" s="185"/>
      <c r="D62" s="185"/>
      <c r="E62" s="185"/>
      <c r="F62" s="185"/>
      <c r="G62" s="185"/>
      <c r="H62" s="185"/>
      <c r="I62" s="185"/>
      <c r="J62" s="185"/>
      <c r="K62" s="185"/>
      <c r="L62" s="185"/>
      <c r="M62" s="185"/>
      <c r="N62" s="185"/>
      <c r="O62" s="185"/>
      <c r="P62" s="185"/>
    </row>
    <row r="63" spans="1:16">
      <c r="A63" s="185"/>
      <c r="B63" s="185"/>
      <c r="C63" s="185"/>
      <c r="D63" s="185"/>
      <c r="E63" s="185"/>
      <c r="F63" s="185"/>
      <c r="G63" s="185"/>
      <c r="H63" s="185"/>
      <c r="I63" s="185"/>
      <c r="J63" s="185"/>
      <c r="K63" s="185"/>
      <c r="L63" s="185"/>
      <c r="M63" s="185"/>
      <c r="N63" s="185"/>
      <c r="O63" s="185"/>
      <c r="P63" s="185"/>
    </row>
    <row r="64" spans="1:16">
      <c r="A64" s="185"/>
      <c r="B64" s="185"/>
      <c r="C64" s="185"/>
      <c r="D64" s="185"/>
      <c r="E64" s="185"/>
      <c r="F64" s="185"/>
      <c r="G64" s="185"/>
      <c r="H64" s="185"/>
      <c r="I64" s="185"/>
      <c r="J64" s="185"/>
      <c r="K64" s="185"/>
      <c r="L64" s="185"/>
      <c r="M64" s="185"/>
      <c r="N64" s="185"/>
      <c r="O64" s="185"/>
      <c r="P64" s="185"/>
    </row>
    <row r="65" spans="1:16">
      <c r="A65" s="185"/>
      <c r="B65" s="185"/>
      <c r="C65" s="185"/>
      <c r="D65" s="185"/>
      <c r="E65" s="185"/>
      <c r="F65" s="185"/>
      <c r="G65" s="185"/>
      <c r="H65" s="185"/>
      <c r="I65" s="185"/>
      <c r="J65" s="185"/>
      <c r="K65" s="185"/>
      <c r="L65" s="185"/>
      <c r="M65" s="185"/>
      <c r="N65" s="185"/>
      <c r="O65" s="185"/>
      <c r="P65" s="185"/>
    </row>
    <row r="66" spans="1:16">
      <c r="A66" s="185"/>
      <c r="B66" s="185"/>
      <c r="C66" s="185"/>
      <c r="D66" s="185"/>
      <c r="E66" s="185"/>
      <c r="F66" s="185"/>
      <c r="G66" s="185"/>
      <c r="H66" s="185"/>
      <c r="I66" s="185"/>
      <c r="J66" s="185"/>
      <c r="K66" s="185"/>
      <c r="L66" s="185"/>
      <c r="M66" s="185"/>
      <c r="N66" s="185"/>
      <c r="O66" s="185"/>
      <c r="P66" s="185"/>
    </row>
    <row r="67" spans="1:16">
      <c r="A67" s="185"/>
      <c r="B67" s="185"/>
      <c r="C67" s="185"/>
      <c r="D67" s="185"/>
      <c r="E67" s="185"/>
      <c r="F67" s="185"/>
      <c r="G67" s="185"/>
      <c r="H67" s="185"/>
      <c r="I67" s="185"/>
      <c r="J67" s="185"/>
      <c r="K67" s="185"/>
      <c r="L67" s="185"/>
      <c r="M67" s="185"/>
      <c r="N67" s="185"/>
      <c r="O67" s="185"/>
      <c r="P67" s="185"/>
    </row>
    <row r="68" spans="1:16">
      <c r="A68" s="185"/>
      <c r="B68" s="185"/>
      <c r="C68" s="185"/>
      <c r="D68" s="185"/>
      <c r="E68" s="185"/>
      <c r="F68" s="185"/>
      <c r="G68" s="185"/>
      <c r="H68" s="185"/>
      <c r="I68" s="185"/>
      <c r="J68" s="185"/>
      <c r="K68" s="185"/>
      <c r="L68" s="185"/>
      <c r="M68" s="185"/>
      <c r="N68" s="185"/>
      <c r="O68" s="185"/>
      <c r="P68" s="185"/>
    </row>
    <row r="69" spans="1:16">
      <c r="A69" s="185"/>
      <c r="B69" s="185"/>
      <c r="C69" s="185"/>
      <c r="D69" s="185"/>
      <c r="E69" s="185"/>
      <c r="F69" s="185"/>
      <c r="G69" s="185"/>
      <c r="H69" s="185"/>
      <c r="I69" s="185"/>
      <c r="J69" s="185"/>
      <c r="K69" s="185"/>
      <c r="L69" s="185"/>
      <c r="M69" s="185"/>
      <c r="N69" s="185"/>
      <c r="O69" s="185"/>
      <c r="P69" s="185"/>
    </row>
    <row r="70" spans="1:16">
      <c r="A70" s="185"/>
      <c r="B70" s="185"/>
      <c r="C70" s="185"/>
      <c r="D70" s="185"/>
      <c r="E70" s="185"/>
      <c r="F70" s="185"/>
      <c r="G70" s="185"/>
      <c r="H70" s="185"/>
      <c r="I70" s="185"/>
      <c r="J70" s="185"/>
      <c r="K70" s="185"/>
      <c r="L70" s="185"/>
      <c r="M70" s="185"/>
      <c r="N70" s="185"/>
      <c r="O70" s="185"/>
      <c r="P70" s="185"/>
    </row>
    <row r="71" spans="1:16">
      <c r="A71" s="185"/>
      <c r="B71" s="185"/>
      <c r="C71" s="185"/>
      <c r="D71" s="185"/>
      <c r="E71" s="185"/>
      <c r="F71" s="185"/>
      <c r="G71" s="185"/>
      <c r="H71" s="185"/>
      <c r="I71" s="185"/>
      <c r="J71" s="185"/>
      <c r="K71" s="185"/>
      <c r="L71" s="185"/>
      <c r="M71" s="185"/>
      <c r="N71" s="185"/>
      <c r="O71" s="185"/>
      <c r="P71" s="185"/>
    </row>
    <row r="72" spans="1:16">
      <c r="A72" s="185"/>
      <c r="B72" s="185"/>
      <c r="C72" s="185"/>
      <c r="D72" s="185"/>
      <c r="E72" s="185"/>
      <c r="F72" s="185"/>
      <c r="G72" s="185"/>
      <c r="H72" s="185"/>
      <c r="I72" s="185"/>
      <c r="J72" s="185"/>
      <c r="K72" s="185"/>
      <c r="L72" s="185"/>
      <c r="M72" s="185"/>
      <c r="N72" s="185"/>
      <c r="O72" s="185"/>
      <c r="P72" s="185"/>
    </row>
    <row r="73" spans="1:16">
      <c r="A73" s="185"/>
      <c r="B73" s="185"/>
      <c r="C73" s="185"/>
      <c r="D73" s="185"/>
      <c r="E73" s="185"/>
      <c r="F73" s="185"/>
      <c r="G73" s="185"/>
      <c r="H73" s="185"/>
      <c r="I73" s="185"/>
      <c r="J73" s="185"/>
      <c r="K73" s="185"/>
      <c r="L73" s="185"/>
      <c r="M73" s="185"/>
      <c r="N73" s="185"/>
      <c r="O73" s="185"/>
      <c r="P73" s="185"/>
    </row>
    <row r="74" spans="1:16">
      <c r="A74" s="185"/>
      <c r="B74" s="185"/>
      <c r="C74" s="185"/>
      <c r="D74" s="185"/>
      <c r="E74" s="185"/>
      <c r="F74" s="185"/>
      <c r="G74" s="185"/>
      <c r="H74" s="185"/>
      <c r="I74" s="185"/>
      <c r="J74" s="185"/>
      <c r="K74" s="185"/>
      <c r="L74" s="185"/>
      <c r="M74" s="185"/>
      <c r="N74" s="185"/>
      <c r="O74" s="185"/>
      <c r="P74" s="185"/>
    </row>
    <row r="75" spans="1:16">
      <c r="A75" s="185"/>
      <c r="B75" s="185"/>
      <c r="C75" s="185"/>
      <c r="D75" s="185"/>
      <c r="E75" s="185"/>
      <c r="F75" s="185"/>
      <c r="G75" s="185"/>
      <c r="H75" s="185"/>
      <c r="I75" s="185"/>
      <c r="J75" s="185"/>
      <c r="K75" s="185"/>
      <c r="L75" s="185"/>
      <c r="M75" s="185"/>
      <c r="N75" s="185"/>
      <c r="O75" s="185"/>
      <c r="P75" s="185"/>
    </row>
    <row r="76" spans="1:16">
      <c r="A76" s="185"/>
      <c r="B76" s="185"/>
      <c r="C76" s="185"/>
      <c r="D76" s="185"/>
      <c r="E76" s="185"/>
      <c r="F76" s="185"/>
      <c r="G76" s="185"/>
      <c r="H76" s="185"/>
      <c r="I76" s="185"/>
      <c r="J76" s="185"/>
      <c r="K76" s="185"/>
      <c r="L76" s="185"/>
      <c r="M76" s="185"/>
      <c r="N76" s="185"/>
      <c r="O76" s="185"/>
      <c r="P76" s="185"/>
    </row>
    <row r="77" spans="1:16">
      <c r="A77" s="185"/>
      <c r="B77" s="185"/>
      <c r="C77" s="185"/>
      <c r="D77" s="185"/>
      <c r="E77" s="185"/>
      <c r="F77" s="185"/>
      <c r="G77" s="185"/>
      <c r="H77" s="185"/>
      <c r="I77" s="185"/>
      <c r="J77" s="185"/>
      <c r="K77" s="185"/>
      <c r="L77" s="185"/>
      <c r="M77" s="185"/>
      <c r="N77" s="185"/>
      <c r="O77" s="185"/>
      <c r="P77" s="185"/>
    </row>
    <row r="78" spans="1:16">
      <c r="A78" s="185"/>
      <c r="B78" s="185"/>
      <c r="C78" s="185"/>
      <c r="D78" s="185"/>
      <c r="E78" s="185"/>
      <c r="F78" s="185"/>
      <c r="G78" s="185"/>
      <c r="H78" s="185"/>
      <c r="I78" s="185"/>
      <c r="J78" s="185"/>
      <c r="K78" s="185"/>
      <c r="L78" s="185"/>
      <c r="M78" s="185"/>
      <c r="N78" s="185"/>
      <c r="O78" s="185"/>
      <c r="P78" s="185"/>
    </row>
    <row r="79" spans="1:16">
      <c r="A79" s="185"/>
      <c r="B79" s="185"/>
      <c r="C79" s="185"/>
      <c r="D79" s="185"/>
      <c r="E79" s="185"/>
      <c r="F79" s="185"/>
      <c r="G79" s="185"/>
      <c r="H79" s="185"/>
      <c r="I79" s="185"/>
      <c r="J79" s="185"/>
      <c r="K79" s="185"/>
      <c r="L79" s="185"/>
      <c r="M79" s="185"/>
      <c r="N79" s="185"/>
      <c r="O79" s="185"/>
      <c r="P79" s="185"/>
    </row>
    <row r="80" spans="1:16">
      <c r="A80" s="185"/>
      <c r="B80" s="185"/>
      <c r="C80" s="185"/>
      <c r="D80" s="185"/>
      <c r="E80" s="185"/>
      <c r="F80" s="185"/>
      <c r="G80" s="185"/>
      <c r="H80" s="185"/>
      <c r="I80" s="185"/>
      <c r="J80" s="185"/>
      <c r="K80" s="185"/>
      <c r="L80" s="185"/>
      <c r="M80" s="185"/>
      <c r="N80" s="185"/>
      <c r="O80" s="185"/>
      <c r="P80" s="185"/>
    </row>
    <row r="81" spans="1:16">
      <c r="A81" s="185"/>
      <c r="B81" s="185"/>
      <c r="C81" s="185"/>
      <c r="D81" s="185"/>
      <c r="E81" s="185"/>
      <c r="F81" s="185"/>
      <c r="G81" s="185"/>
      <c r="H81" s="185"/>
      <c r="I81" s="185"/>
      <c r="J81" s="185"/>
      <c r="K81" s="185"/>
      <c r="L81" s="185"/>
      <c r="M81" s="185"/>
      <c r="N81" s="185"/>
      <c r="O81" s="185"/>
      <c r="P81" s="185"/>
    </row>
    <row r="82" spans="1:16">
      <c r="A82" s="185"/>
      <c r="B82" s="185"/>
      <c r="C82" s="185"/>
      <c r="D82" s="185"/>
      <c r="E82" s="185"/>
      <c r="F82" s="185"/>
      <c r="G82" s="185"/>
      <c r="H82" s="185"/>
      <c r="I82" s="185"/>
      <c r="J82" s="185"/>
      <c r="K82" s="185"/>
      <c r="L82" s="185"/>
      <c r="M82" s="185"/>
      <c r="N82" s="185"/>
      <c r="O82" s="185"/>
      <c r="P82" s="185"/>
    </row>
    <row r="83" spans="1:16">
      <c r="A83" s="185"/>
      <c r="B83" s="185"/>
      <c r="C83" s="185"/>
      <c r="D83" s="185"/>
      <c r="E83" s="185"/>
      <c r="F83" s="185"/>
      <c r="G83" s="185"/>
      <c r="H83" s="185"/>
      <c r="I83" s="185"/>
      <c r="J83" s="185"/>
      <c r="K83" s="185"/>
      <c r="L83" s="185"/>
      <c r="M83" s="185"/>
      <c r="N83" s="185"/>
      <c r="O83" s="185"/>
      <c r="P83" s="185"/>
    </row>
    <row r="84" spans="1:16">
      <c r="A84" s="185"/>
      <c r="B84" s="185"/>
      <c r="C84" s="185"/>
      <c r="D84" s="185"/>
      <c r="E84" s="185"/>
      <c r="F84" s="185"/>
      <c r="G84" s="185"/>
      <c r="H84" s="185"/>
      <c r="I84" s="185"/>
      <c r="J84" s="185"/>
      <c r="K84" s="185"/>
      <c r="L84" s="185"/>
      <c r="M84" s="185"/>
      <c r="N84" s="185"/>
      <c r="O84" s="185"/>
      <c r="P84" s="185"/>
    </row>
    <row r="85" spans="1:16">
      <c r="A85" s="185"/>
      <c r="B85" s="185"/>
      <c r="C85" s="185"/>
      <c r="D85" s="185"/>
      <c r="E85" s="185"/>
      <c r="F85" s="185"/>
      <c r="G85" s="185"/>
      <c r="H85" s="185"/>
      <c r="I85" s="185"/>
      <c r="J85" s="185"/>
      <c r="K85" s="185"/>
      <c r="L85" s="185"/>
      <c r="M85" s="185"/>
      <c r="N85" s="185"/>
      <c r="O85" s="185"/>
      <c r="P85" s="185"/>
    </row>
    <row r="86" spans="1:16">
      <c r="A86" s="185"/>
      <c r="B86" s="185"/>
      <c r="C86" s="185"/>
      <c r="D86" s="185"/>
      <c r="E86" s="185"/>
      <c r="F86" s="185"/>
      <c r="G86" s="185"/>
      <c r="H86" s="185"/>
      <c r="I86" s="185"/>
      <c r="J86" s="185"/>
      <c r="K86" s="185"/>
      <c r="L86" s="185"/>
      <c r="M86" s="185"/>
      <c r="N86" s="185"/>
      <c r="O86" s="185"/>
      <c r="P86" s="185"/>
    </row>
    <row r="87" spans="1:16">
      <c r="A87" s="185"/>
      <c r="B87" s="185"/>
      <c r="C87" s="185"/>
      <c r="D87" s="185"/>
      <c r="E87" s="185"/>
      <c r="F87" s="185"/>
      <c r="G87" s="185"/>
      <c r="H87" s="185"/>
      <c r="I87" s="185"/>
      <c r="J87" s="185"/>
      <c r="K87" s="185"/>
      <c r="L87" s="185"/>
      <c r="M87" s="185"/>
      <c r="N87" s="185"/>
      <c r="O87" s="185"/>
      <c r="P87" s="185"/>
    </row>
    <row r="88" spans="1:16">
      <c r="A88" s="185"/>
      <c r="B88" s="185"/>
      <c r="C88" s="185"/>
      <c r="D88" s="185"/>
      <c r="E88" s="185"/>
      <c r="F88" s="185"/>
      <c r="G88" s="185"/>
      <c r="H88" s="185"/>
      <c r="I88" s="185"/>
      <c r="J88" s="185"/>
      <c r="K88" s="185"/>
      <c r="L88" s="185"/>
      <c r="M88" s="185"/>
      <c r="N88" s="185"/>
      <c r="O88" s="185"/>
      <c r="P88" s="185"/>
    </row>
    <row r="89" spans="1:16">
      <c r="A89" s="185"/>
      <c r="B89" s="185"/>
      <c r="C89" s="185"/>
      <c r="D89" s="185"/>
      <c r="E89" s="185"/>
      <c r="F89" s="185"/>
      <c r="G89" s="185"/>
      <c r="H89" s="185"/>
      <c r="I89" s="185"/>
      <c r="J89" s="185"/>
      <c r="K89" s="185"/>
      <c r="L89" s="185"/>
      <c r="M89" s="185"/>
      <c r="N89" s="185"/>
      <c r="O89" s="185"/>
      <c r="P89" s="185"/>
    </row>
    <row r="90" spans="1:16">
      <c r="A90" s="185"/>
      <c r="B90" s="185"/>
      <c r="C90" s="185"/>
      <c r="D90" s="185"/>
      <c r="E90" s="185"/>
      <c r="F90" s="185"/>
      <c r="G90" s="185"/>
      <c r="H90" s="185"/>
      <c r="I90" s="185"/>
      <c r="J90" s="185"/>
      <c r="K90" s="185"/>
      <c r="L90" s="185"/>
      <c r="M90" s="185"/>
      <c r="N90" s="185"/>
      <c r="O90" s="185"/>
      <c r="P90" s="185"/>
    </row>
    <row r="91" spans="1:16">
      <c r="A91" s="185"/>
      <c r="B91" s="185"/>
      <c r="C91" s="185"/>
      <c r="D91" s="185"/>
      <c r="E91" s="185"/>
      <c r="F91" s="185"/>
      <c r="G91" s="185"/>
      <c r="H91" s="185"/>
      <c r="I91" s="185"/>
      <c r="J91" s="185"/>
      <c r="K91" s="185"/>
      <c r="L91" s="185"/>
      <c r="M91" s="185"/>
      <c r="N91" s="185"/>
      <c r="O91" s="185"/>
      <c r="P91" s="185"/>
    </row>
    <row r="92" spans="1:16">
      <c r="A92" s="185"/>
      <c r="B92" s="185"/>
      <c r="C92" s="185"/>
      <c r="D92" s="185"/>
      <c r="E92" s="185"/>
      <c r="F92" s="185"/>
      <c r="G92" s="185"/>
      <c r="H92" s="185"/>
      <c r="I92" s="185"/>
      <c r="J92" s="185"/>
      <c r="K92" s="185"/>
      <c r="L92" s="185"/>
      <c r="M92" s="185"/>
      <c r="N92" s="185"/>
      <c r="O92" s="185"/>
      <c r="P92" s="185"/>
    </row>
    <row r="93" spans="1:16">
      <c r="A93" s="185"/>
      <c r="B93" s="185"/>
      <c r="C93" s="185"/>
      <c r="D93" s="185"/>
      <c r="E93" s="185"/>
      <c r="F93" s="185"/>
      <c r="G93" s="185"/>
      <c r="H93" s="185"/>
      <c r="I93" s="185"/>
      <c r="J93" s="185"/>
      <c r="K93" s="185"/>
      <c r="L93" s="185"/>
      <c r="M93" s="185"/>
      <c r="N93" s="185"/>
      <c r="O93" s="185"/>
      <c r="P93" s="185"/>
    </row>
    <row r="94" spans="1:16">
      <c r="A94" s="185"/>
      <c r="B94" s="185"/>
      <c r="C94" s="185"/>
      <c r="D94" s="185"/>
      <c r="E94" s="185"/>
      <c r="F94" s="185"/>
      <c r="G94" s="185"/>
      <c r="H94" s="185"/>
      <c r="I94" s="185"/>
      <c r="J94" s="185"/>
      <c r="K94" s="185"/>
      <c r="L94" s="185"/>
      <c r="M94" s="185"/>
      <c r="N94" s="185"/>
      <c r="O94" s="185"/>
      <c r="P94" s="185"/>
    </row>
    <row r="95" spans="1:16">
      <c r="A95" s="185"/>
      <c r="B95" s="185"/>
      <c r="C95" s="185"/>
      <c r="D95" s="185"/>
      <c r="E95" s="185"/>
      <c r="F95" s="185"/>
      <c r="G95" s="185"/>
      <c r="H95" s="185"/>
      <c r="I95" s="185"/>
      <c r="J95" s="185"/>
      <c r="K95" s="185"/>
      <c r="L95" s="185"/>
      <c r="M95" s="185"/>
      <c r="N95" s="185"/>
      <c r="O95" s="185"/>
      <c r="P95" s="185"/>
    </row>
    <row r="96" spans="1:16">
      <c r="A96" s="185"/>
      <c r="B96" s="185"/>
      <c r="C96" s="185"/>
      <c r="D96" s="185"/>
      <c r="E96" s="185"/>
      <c r="F96" s="185"/>
      <c r="G96" s="185"/>
      <c r="H96" s="185"/>
      <c r="I96" s="185"/>
      <c r="J96" s="185"/>
      <c r="K96" s="185"/>
      <c r="L96" s="185"/>
      <c r="M96" s="185"/>
      <c r="N96" s="185"/>
      <c r="O96" s="185"/>
      <c r="P96" s="185"/>
    </row>
    <row r="97" spans="1:16">
      <c r="A97" s="185"/>
      <c r="B97" s="185"/>
      <c r="C97" s="185"/>
      <c r="D97" s="185"/>
      <c r="E97" s="185"/>
      <c r="F97" s="185"/>
      <c r="G97" s="185"/>
      <c r="H97" s="185"/>
      <c r="I97" s="185"/>
      <c r="J97" s="185"/>
      <c r="K97" s="185"/>
      <c r="L97" s="185"/>
      <c r="M97" s="185"/>
      <c r="N97" s="185"/>
      <c r="O97" s="185"/>
      <c r="P97" s="185"/>
    </row>
    <row r="98" spans="1:16">
      <c r="A98" s="185"/>
      <c r="B98" s="185"/>
      <c r="C98" s="185"/>
      <c r="D98" s="185"/>
      <c r="E98" s="185"/>
      <c r="F98" s="185"/>
      <c r="G98" s="185"/>
      <c r="H98" s="185"/>
      <c r="I98" s="185"/>
      <c r="J98" s="185"/>
      <c r="K98" s="185"/>
      <c r="L98" s="185"/>
      <c r="M98" s="185"/>
      <c r="N98" s="185"/>
      <c r="O98" s="185"/>
      <c r="P98" s="185"/>
    </row>
    <row r="99" spans="1:16">
      <c r="A99" s="185"/>
      <c r="B99" s="185"/>
      <c r="C99" s="185"/>
      <c r="D99" s="185"/>
      <c r="E99" s="185"/>
      <c r="F99" s="185"/>
      <c r="G99" s="185"/>
      <c r="H99" s="185"/>
      <c r="I99" s="185"/>
      <c r="J99" s="185"/>
      <c r="K99" s="185"/>
      <c r="L99" s="185"/>
      <c r="M99" s="185"/>
      <c r="N99" s="185"/>
      <c r="O99" s="185"/>
      <c r="P99" s="185"/>
    </row>
    <row r="100" spans="1:16">
      <c r="A100" s="185"/>
      <c r="B100" s="185"/>
      <c r="C100" s="185"/>
      <c r="D100" s="185"/>
      <c r="E100" s="185"/>
      <c r="F100" s="185"/>
      <c r="G100" s="185"/>
      <c r="H100" s="185"/>
      <c r="I100" s="185"/>
      <c r="J100" s="185"/>
      <c r="K100" s="185"/>
      <c r="L100" s="185"/>
      <c r="M100" s="185"/>
      <c r="N100" s="185"/>
      <c r="O100" s="185"/>
      <c r="P100" s="185"/>
    </row>
    <row r="101" spans="1:16">
      <c r="A101" s="185"/>
      <c r="B101" s="185"/>
      <c r="C101" s="185"/>
      <c r="D101" s="185"/>
      <c r="E101" s="185"/>
      <c r="F101" s="185"/>
      <c r="G101" s="185"/>
      <c r="H101" s="185"/>
      <c r="I101" s="185"/>
      <c r="J101" s="185"/>
      <c r="K101" s="185"/>
      <c r="L101" s="185"/>
      <c r="M101" s="185"/>
      <c r="N101" s="185"/>
      <c r="O101" s="185"/>
      <c r="P101" s="185"/>
    </row>
    <row r="102" spans="1:16">
      <c r="A102" s="185"/>
      <c r="B102" s="185"/>
      <c r="C102" s="185"/>
      <c r="D102" s="185"/>
      <c r="E102" s="185"/>
      <c r="F102" s="185"/>
      <c r="G102" s="185"/>
      <c r="H102" s="185"/>
      <c r="I102" s="185"/>
      <c r="J102" s="185"/>
      <c r="K102" s="185"/>
      <c r="L102" s="185"/>
      <c r="M102" s="185"/>
      <c r="N102" s="185"/>
      <c r="O102" s="185"/>
      <c r="P102" s="185"/>
    </row>
    <row r="103" spans="1:16">
      <c r="A103" s="185"/>
      <c r="B103" s="185"/>
      <c r="C103" s="185"/>
      <c r="D103" s="185"/>
      <c r="E103" s="185"/>
      <c r="F103" s="185"/>
      <c r="G103" s="185"/>
      <c r="H103" s="185"/>
      <c r="I103" s="185"/>
      <c r="J103" s="185"/>
      <c r="K103" s="185"/>
      <c r="L103" s="185"/>
      <c r="M103" s="185"/>
      <c r="N103" s="185"/>
      <c r="O103" s="185"/>
      <c r="P103" s="185"/>
    </row>
    <row r="104" spans="1:16">
      <c r="A104" s="185"/>
      <c r="B104" s="185"/>
      <c r="C104" s="185"/>
      <c r="D104" s="185"/>
      <c r="E104" s="185"/>
      <c r="F104" s="185"/>
      <c r="G104" s="185"/>
      <c r="H104" s="185"/>
      <c r="I104" s="185"/>
      <c r="J104" s="185"/>
      <c r="K104" s="185"/>
      <c r="L104" s="185"/>
      <c r="M104" s="185"/>
      <c r="N104" s="185"/>
      <c r="O104" s="185"/>
      <c r="P104" s="185"/>
    </row>
    <row r="105" spans="1:16">
      <c r="A105" s="185"/>
      <c r="B105" s="185"/>
      <c r="C105" s="185"/>
      <c r="D105" s="185"/>
      <c r="E105" s="185"/>
      <c r="F105" s="185"/>
      <c r="G105" s="185"/>
      <c r="H105" s="185"/>
      <c r="I105" s="185"/>
      <c r="J105" s="185"/>
      <c r="K105" s="185"/>
      <c r="L105" s="185"/>
      <c r="M105" s="185"/>
      <c r="N105" s="185"/>
      <c r="O105" s="185"/>
      <c r="P105" s="185"/>
    </row>
    <row r="106" spans="1:16">
      <c r="A106" s="185"/>
      <c r="B106" s="185"/>
      <c r="C106" s="185"/>
      <c r="D106" s="185"/>
      <c r="E106" s="185"/>
      <c r="F106" s="185"/>
      <c r="G106" s="185"/>
      <c r="H106" s="185"/>
      <c r="I106" s="185"/>
      <c r="J106" s="185"/>
      <c r="K106" s="185"/>
      <c r="L106" s="185"/>
      <c r="M106" s="185"/>
      <c r="N106" s="185"/>
      <c r="O106" s="185"/>
      <c r="P106" s="185"/>
    </row>
    <row r="107" spans="1:16">
      <c r="A107" s="185"/>
      <c r="B107" s="185"/>
      <c r="C107" s="185"/>
      <c r="D107" s="185"/>
      <c r="E107" s="185"/>
      <c r="F107" s="185"/>
      <c r="G107" s="185"/>
      <c r="H107" s="185"/>
      <c r="I107" s="185"/>
      <c r="J107" s="185"/>
      <c r="K107" s="185"/>
      <c r="L107" s="185"/>
      <c r="M107" s="185"/>
      <c r="N107" s="185"/>
      <c r="O107" s="185"/>
      <c r="P107" s="185"/>
    </row>
    <row r="108" spans="1:16">
      <c r="A108" s="185"/>
      <c r="B108" s="185"/>
      <c r="C108" s="185"/>
      <c r="D108" s="185"/>
      <c r="E108" s="185"/>
      <c r="F108" s="185"/>
      <c r="G108" s="185"/>
      <c r="H108" s="185"/>
      <c r="I108" s="185"/>
      <c r="J108" s="185"/>
      <c r="K108" s="185"/>
      <c r="L108" s="185"/>
      <c r="M108" s="185"/>
      <c r="N108" s="185"/>
      <c r="O108" s="185"/>
      <c r="P108" s="185"/>
    </row>
    <row r="109" spans="1:16">
      <c r="A109" s="185"/>
      <c r="B109" s="185"/>
      <c r="C109" s="185"/>
      <c r="D109" s="185"/>
      <c r="E109" s="185"/>
      <c r="F109" s="185"/>
      <c r="G109" s="185"/>
      <c r="H109" s="185"/>
      <c r="I109" s="185"/>
      <c r="J109" s="185"/>
      <c r="K109" s="185"/>
      <c r="L109" s="185"/>
      <c r="M109" s="185"/>
      <c r="N109" s="185"/>
      <c r="O109" s="185"/>
      <c r="P109" s="185"/>
    </row>
    <row r="110" spans="1:16">
      <c r="A110" s="185"/>
      <c r="B110" s="185"/>
      <c r="C110" s="185"/>
      <c r="D110" s="185"/>
      <c r="E110" s="185"/>
      <c r="F110" s="185"/>
      <c r="G110" s="185"/>
      <c r="H110" s="185"/>
      <c r="I110" s="185"/>
      <c r="J110" s="185"/>
      <c r="K110" s="185"/>
      <c r="L110" s="185"/>
      <c r="M110" s="185"/>
      <c r="N110" s="185"/>
      <c r="O110" s="185"/>
      <c r="P110" s="185"/>
    </row>
    <row r="111" spans="1:16">
      <c r="A111" s="185"/>
      <c r="B111" s="185"/>
      <c r="C111" s="185"/>
      <c r="D111" s="185"/>
      <c r="E111" s="185"/>
      <c r="F111" s="185"/>
      <c r="G111" s="185"/>
      <c r="H111" s="185"/>
      <c r="I111" s="185"/>
      <c r="J111" s="185"/>
      <c r="K111" s="185"/>
      <c r="L111" s="185"/>
      <c r="M111" s="185"/>
      <c r="N111" s="185"/>
      <c r="O111" s="185"/>
      <c r="P111" s="185"/>
    </row>
    <row r="112" spans="1:16">
      <c r="A112" s="185"/>
      <c r="B112" s="185"/>
      <c r="C112" s="185"/>
      <c r="D112" s="185"/>
      <c r="E112" s="185"/>
      <c r="F112" s="185"/>
      <c r="G112" s="185"/>
      <c r="H112" s="185"/>
      <c r="I112" s="185"/>
      <c r="J112" s="185"/>
      <c r="K112" s="185"/>
      <c r="L112" s="185"/>
      <c r="M112" s="185"/>
      <c r="N112" s="185"/>
      <c r="O112" s="185"/>
      <c r="P112" s="185"/>
    </row>
    <row r="113" spans="1:16">
      <c r="A113" s="185"/>
      <c r="B113" s="185"/>
      <c r="C113" s="185"/>
      <c r="D113" s="185"/>
      <c r="E113" s="185"/>
      <c r="F113" s="185"/>
      <c r="G113" s="185"/>
      <c r="H113" s="185"/>
      <c r="I113" s="185"/>
      <c r="J113" s="185"/>
      <c r="K113" s="185"/>
      <c r="L113" s="185"/>
      <c r="M113" s="185"/>
      <c r="N113" s="185"/>
      <c r="O113" s="185"/>
      <c r="P113" s="185"/>
    </row>
    <row r="114" spans="1:16">
      <c r="A114" s="185"/>
      <c r="B114" s="185"/>
      <c r="C114" s="185"/>
      <c r="D114" s="185"/>
      <c r="E114" s="185"/>
      <c r="F114" s="185"/>
      <c r="G114" s="185"/>
      <c r="H114" s="185"/>
      <c r="I114" s="185"/>
      <c r="J114" s="185"/>
      <c r="K114" s="185"/>
      <c r="L114" s="185"/>
      <c r="M114" s="185"/>
      <c r="N114" s="185"/>
      <c r="O114" s="185"/>
      <c r="P114" s="185"/>
    </row>
    <row r="115" spans="1:16">
      <c r="A115" s="185"/>
      <c r="B115" s="185"/>
      <c r="C115" s="185"/>
      <c r="D115" s="185"/>
      <c r="E115" s="185"/>
      <c r="F115" s="185"/>
      <c r="G115" s="185"/>
      <c r="H115" s="185"/>
      <c r="I115" s="185"/>
      <c r="J115" s="185"/>
      <c r="K115" s="185"/>
      <c r="L115" s="185"/>
      <c r="M115" s="185"/>
      <c r="N115" s="185"/>
      <c r="O115" s="185"/>
      <c r="P115" s="185"/>
    </row>
    <row r="116" spans="1:16">
      <c r="A116" s="185"/>
      <c r="B116" s="185"/>
      <c r="C116" s="185"/>
      <c r="D116" s="185"/>
      <c r="E116" s="185"/>
      <c r="F116" s="185"/>
      <c r="G116" s="185"/>
      <c r="H116" s="185"/>
      <c r="I116" s="185"/>
      <c r="J116" s="185"/>
      <c r="K116" s="185"/>
      <c r="L116" s="185"/>
      <c r="M116" s="185"/>
      <c r="N116" s="185"/>
      <c r="O116" s="185"/>
      <c r="P116" s="185"/>
    </row>
    <row r="117" spans="1:16">
      <c r="A117" s="185"/>
      <c r="B117" s="185"/>
      <c r="C117" s="185"/>
      <c r="D117" s="185"/>
      <c r="E117" s="185"/>
      <c r="F117" s="185"/>
      <c r="G117" s="185"/>
      <c r="H117" s="185"/>
      <c r="I117" s="185"/>
      <c r="J117" s="185"/>
      <c r="K117" s="185"/>
      <c r="L117" s="185"/>
      <c r="M117" s="185"/>
      <c r="N117" s="185"/>
      <c r="O117" s="185"/>
      <c r="P117" s="185"/>
    </row>
    <row r="118" spans="1:16">
      <c r="A118" s="185"/>
      <c r="B118" s="185"/>
      <c r="C118" s="185"/>
      <c r="D118" s="185"/>
      <c r="E118" s="185"/>
      <c r="F118" s="185"/>
      <c r="G118" s="185"/>
      <c r="H118" s="185"/>
      <c r="I118" s="185"/>
      <c r="J118" s="185"/>
      <c r="K118" s="185"/>
      <c r="L118" s="185"/>
      <c r="M118" s="185"/>
      <c r="N118" s="185"/>
      <c r="O118" s="185"/>
      <c r="P118" s="185"/>
    </row>
    <row r="119" spans="1:16">
      <c r="A119" s="185"/>
      <c r="B119" s="185"/>
      <c r="C119" s="185"/>
      <c r="D119" s="185"/>
      <c r="E119" s="185"/>
      <c r="F119" s="185"/>
      <c r="G119" s="185"/>
      <c r="H119" s="185"/>
      <c r="I119" s="185"/>
      <c r="J119" s="185"/>
      <c r="K119" s="185"/>
      <c r="L119" s="185"/>
      <c r="M119" s="185"/>
      <c r="N119" s="185"/>
      <c r="O119" s="185"/>
      <c r="P119" s="185"/>
    </row>
    <row r="120" spans="1:16">
      <c r="A120" s="185"/>
      <c r="B120" s="185"/>
      <c r="C120" s="185"/>
      <c r="D120" s="185"/>
      <c r="E120" s="185"/>
      <c r="F120" s="185"/>
      <c r="G120" s="185"/>
      <c r="H120" s="185"/>
      <c r="I120" s="185"/>
      <c r="J120" s="185"/>
      <c r="K120" s="185"/>
      <c r="L120" s="185"/>
      <c r="M120" s="185"/>
      <c r="N120" s="185"/>
      <c r="O120" s="185"/>
      <c r="P120" s="185"/>
    </row>
    <row r="121" spans="1:16">
      <c r="A121" s="185"/>
      <c r="B121" s="185"/>
      <c r="C121" s="185"/>
      <c r="D121" s="185"/>
      <c r="E121" s="185"/>
      <c r="F121" s="185"/>
      <c r="G121" s="185"/>
      <c r="H121" s="185"/>
      <c r="I121" s="185"/>
      <c r="J121" s="185"/>
      <c r="K121" s="185"/>
      <c r="L121" s="185"/>
      <c r="M121" s="185"/>
      <c r="N121" s="185"/>
      <c r="O121" s="185"/>
      <c r="P121" s="185"/>
    </row>
    <row r="122" spans="1:16">
      <c r="A122" s="185"/>
      <c r="B122" s="185"/>
      <c r="C122" s="185"/>
      <c r="D122" s="185"/>
      <c r="E122" s="185"/>
      <c r="F122" s="185"/>
      <c r="G122" s="185"/>
      <c r="H122" s="185"/>
      <c r="I122" s="185"/>
      <c r="J122" s="185"/>
      <c r="K122" s="185"/>
      <c r="L122" s="185"/>
      <c r="M122" s="185"/>
      <c r="N122" s="185"/>
      <c r="O122" s="185"/>
      <c r="P122" s="185"/>
    </row>
    <row r="123" spans="1:16">
      <c r="A123" s="185"/>
      <c r="B123" s="185"/>
      <c r="C123" s="185"/>
      <c r="D123" s="185"/>
      <c r="E123" s="185"/>
      <c r="F123" s="185"/>
      <c r="G123" s="185"/>
      <c r="H123" s="185"/>
      <c r="I123" s="185"/>
      <c r="J123" s="185"/>
      <c r="K123" s="185"/>
      <c r="L123" s="185"/>
      <c r="M123" s="185"/>
      <c r="N123" s="185"/>
      <c r="O123" s="185"/>
      <c r="P123" s="185"/>
    </row>
    <row r="124" spans="1:16">
      <c r="A124" s="185"/>
      <c r="B124" s="185"/>
      <c r="C124" s="185"/>
      <c r="D124" s="185"/>
      <c r="E124" s="185"/>
      <c r="F124" s="185"/>
      <c r="G124" s="185"/>
      <c r="H124" s="185"/>
      <c r="I124" s="185"/>
      <c r="J124" s="185"/>
      <c r="K124" s="185"/>
      <c r="L124" s="185"/>
      <c r="M124" s="185"/>
      <c r="N124" s="185"/>
      <c r="O124" s="185"/>
      <c r="P124" s="185"/>
    </row>
    <row r="125" spans="1:16">
      <c r="A125" s="185"/>
      <c r="B125" s="185"/>
      <c r="C125" s="185"/>
      <c r="D125" s="185"/>
      <c r="E125" s="185"/>
      <c r="F125" s="185"/>
      <c r="G125" s="185"/>
      <c r="H125" s="185"/>
      <c r="I125" s="185"/>
      <c r="J125" s="185"/>
      <c r="K125" s="185"/>
      <c r="L125" s="185"/>
      <c r="M125" s="185"/>
      <c r="N125" s="185"/>
      <c r="O125" s="185"/>
      <c r="P125" s="185"/>
    </row>
    <row r="126" spans="1:16">
      <c r="A126" s="185"/>
      <c r="B126" s="185"/>
      <c r="C126" s="185"/>
      <c r="D126" s="185"/>
      <c r="E126" s="185"/>
      <c r="F126" s="185"/>
      <c r="G126" s="185"/>
      <c r="H126" s="185"/>
      <c r="I126" s="185"/>
      <c r="J126" s="185"/>
      <c r="K126" s="185"/>
      <c r="L126" s="185"/>
      <c r="M126" s="185"/>
      <c r="N126" s="185"/>
      <c r="O126" s="185"/>
      <c r="P126" s="185"/>
    </row>
    <row r="127" spans="1:16">
      <c r="A127" s="185"/>
      <c r="B127" s="185"/>
      <c r="C127" s="185"/>
      <c r="D127" s="185"/>
      <c r="E127" s="185"/>
      <c r="F127" s="185"/>
      <c r="G127" s="185"/>
      <c r="H127" s="185"/>
      <c r="I127" s="185"/>
      <c r="J127" s="185"/>
      <c r="K127" s="185"/>
      <c r="L127" s="185"/>
      <c r="M127" s="185"/>
      <c r="N127" s="185"/>
      <c r="O127" s="185"/>
      <c r="P127" s="185"/>
    </row>
    <row r="128" spans="1:16">
      <c r="A128" s="185"/>
      <c r="B128" s="185"/>
      <c r="C128" s="185"/>
      <c r="D128" s="185"/>
      <c r="E128" s="185"/>
      <c r="F128" s="185"/>
      <c r="G128" s="185"/>
      <c r="H128" s="185"/>
      <c r="I128" s="185"/>
      <c r="J128" s="185"/>
      <c r="K128" s="185"/>
      <c r="L128" s="185"/>
      <c r="M128" s="185"/>
      <c r="N128" s="185"/>
      <c r="O128" s="185"/>
      <c r="P128" s="185"/>
    </row>
    <row r="129" spans="1:16">
      <c r="A129" s="185"/>
      <c r="B129" s="185"/>
      <c r="C129" s="185"/>
      <c r="D129" s="185"/>
      <c r="E129" s="185"/>
      <c r="F129" s="185"/>
      <c r="G129" s="185"/>
      <c r="H129" s="185"/>
      <c r="I129" s="185"/>
      <c r="J129" s="185"/>
      <c r="K129" s="185"/>
      <c r="L129" s="185"/>
      <c r="M129" s="185"/>
      <c r="N129" s="185"/>
      <c r="O129" s="185"/>
      <c r="P129" s="185"/>
    </row>
    <row r="130" spans="1:16">
      <c r="A130" s="185"/>
      <c r="B130" s="185"/>
      <c r="C130" s="185"/>
      <c r="D130" s="185"/>
      <c r="E130" s="185"/>
      <c r="F130" s="185"/>
      <c r="G130" s="185"/>
      <c r="H130" s="185"/>
      <c r="I130" s="185"/>
      <c r="J130" s="185"/>
      <c r="K130" s="185"/>
      <c r="L130" s="185"/>
      <c r="M130" s="185"/>
      <c r="N130" s="185"/>
      <c r="O130" s="185"/>
      <c r="P130" s="185"/>
    </row>
    <row r="131" spans="1:16">
      <c r="A131" s="185"/>
      <c r="B131" s="185"/>
      <c r="C131" s="185"/>
      <c r="D131" s="185"/>
      <c r="E131" s="185"/>
      <c r="F131" s="185"/>
      <c r="G131" s="185"/>
      <c r="H131" s="185"/>
      <c r="I131" s="185"/>
      <c r="J131" s="185"/>
      <c r="K131" s="185"/>
      <c r="L131" s="185"/>
      <c r="M131" s="185"/>
      <c r="N131" s="185"/>
      <c r="O131" s="185"/>
      <c r="P131" s="185"/>
    </row>
    <row r="132" spans="1:16">
      <c r="A132" s="185"/>
      <c r="B132" s="185"/>
      <c r="C132" s="185"/>
      <c r="D132" s="185"/>
      <c r="E132" s="185"/>
      <c r="F132" s="185"/>
      <c r="G132" s="185"/>
      <c r="H132" s="185"/>
      <c r="I132" s="185"/>
      <c r="J132" s="185"/>
      <c r="K132" s="185"/>
      <c r="L132" s="185"/>
      <c r="M132" s="185"/>
      <c r="N132" s="185"/>
      <c r="O132" s="185"/>
      <c r="P132" s="185"/>
    </row>
    <row r="133" spans="1:16">
      <c r="A133" s="185"/>
      <c r="B133" s="185"/>
      <c r="C133" s="185"/>
      <c r="D133" s="185"/>
      <c r="E133" s="185"/>
      <c r="F133" s="185"/>
      <c r="G133" s="185"/>
      <c r="H133" s="185"/>
      <c r="I133" s="185"/>
      <c r="J133" s="185"/>
      <c r="K133" s="185"/>
      <c r="L133" s="185"/>
      <c r="M133" s="185"/>
      <c r="N133" s="185"/>
      <c r="O133" s="185"/>
      <c r="P133" s="185"/>
    </row>
    <row r="134" spans="1:16">
      <c r="A134" s="185"/>
      <c r="B134" s="185"/>
      <c r="C134" s="185"/>
      <c r="D134" s="185"/>
      <c r="E134" s="185"/>
      <c r="F134" s="185"/>
      <c r="G134" s="185"/>
      <c r="H134" s="185"/>
      <c r="I134" s="185"/>
      <c r="J134" s="185"/>
      <c r="K134" s="185"/>
      <c r="L134" s="185"/>
      <c r="M134" s="185"/>
      <c r="N134" s="185"/>
      <c r="O134" s="185"/>
      <c r="P134" s="185"/>
    </row>
    <row r="135" spans="1:16">
      <c r="A135" s="185"/>
      <c r="B135" s="185"/>
      <c r="C135" s="185"/>
      <c r="D135" s="185"/>
      <c r="E135" s="185"/>
      <c r="F135" s="185"/>
      <c r="G135" s="185"/>
      <c r="H135" s="185"/>
      <c r="I135" s="185"/>
      <c r="J135" s="185"/>
      <c r="K135" s="185"/>
      <c r="L135" s="185"/>
      <c r="M135" s="185"/>
      <c r="N135" s="185"/>
      <c r="O135" s="185"/>
      <c r="P135" s="185"/>
    </row>
    <row r="136" spans="1:16">
      <c r="A136" s="185"/>
      <c r="B136" s="185"/>
      <c r="C136" s="185"/>
      <c r="D136" s="185"/>
      <c r="E136" s="185"/>
      <c r="F136" s="185"/>
      <c r="G136" s="185"/>
      <c r="H136" s="185"/>
      <c r="I136" s="185"/>
      <c r="J136" s="185"/>
      <c r="K136" s="185"/>
      <c r="L136" s="185"/>
      <c r="M136" s="185"/>
      <c r="N136" s="185"/>
      <c r="O136" s="185"/>
      <c r="P136" s="185"/>
    </row>
    <row r="137" spans="1:16">
      <c r="A137" s="185"/>
      <c r="B137" s="185"/>
      <c r="C137" s="185"/>
      <c r="D137" s="185"/>
      <c r="E137" s="185"/>
      <c r="F137" s="185"/>
      <c r="G137" s="185"/>
      <c r="H137" s="185"/>
      <c r="I137" s="185"/>
      <c r="J137" s="185"/>
      <c r="K137" s="185"/>
      <c r="L137" s="185"/>
      <c r="M137" s="185"/>
      <c r="N137" s="185"/>
      <c r="O137" s="185"/>
      <c r="P137" s="185"/>
    </row>
    <row r="138" spans="1:16">
      <c r="A138" s="185"/>
      <c r="B138" s="185"/>
      <c r="C138" s="185"/>
      <c r="D138" s="185"/>
      <c r="E138" s="185"/>
      <c r="F138" s="185"/>
      <c r="G138" s="185"/>
      <c r="H138" s="185"/>
      <c r="I138" s="185"/>
      <c r="J138" s="185"/>
      <c r="K138" s="185"/>
      <c r="L138" s="185"/>
      <c r="M138" s="185"/>
      <c r="N138" s="185"/>
      <c r="O138" s="185"/>
      <c r="P138" s="185"/>
    </row>
    <row r="139" spans="1:16">
      <c r="A139" s="185"/>
      <c r="B139" s="185"/>
      <c r="C139" s="185"/>
      <c r="D139" s="185"/>
      <c r="E139" s="185"/>
      <c r="F139" s="185"/>
      <c r="G139" s="185"/>
      <c r="H139" s="185"/>
      <c r="I139" s="185"/>
      <c r="J139" s="185"/>
      <c r="K139" s="185"/>
      <c r="L139" s="185"/>
      <c r="M139" s="185"/>
      <c r="N139" s="185"/>
      <c r="O139" s="185"/>
      <c r="P139" s="185"/>
    </row>
    <row r="140" spans="1:16">
      <c r="A140" s="185"/>
      <c r="B140" s="185"/>
      <c r="C140" s="185"/>
      <c r="D140" s="185"/>
      <c r="E140" s="185"/>
      <c r="F140" s="185"/>
      <c r="G140" s="185"/>
      <c r="H140" s="185"/>
      <c r="I140" s="185"/>
      <c r="J140" s="185"/>
      <c r="K140" s="185"/>
      <c r="L140" s="185"/>
      <c r="M140" s="185"/>
      <c r="N140" s="185"/>
      <c r="O140" s="185"/>
      <c r="P140" s="185"/>
    </row>
    <row r="141" spans="1:16">
      <c r="A141" s="185"/>
      <c r="B141" s="185"/>
      <c r="C141" s="185"/>
      <c r="D141" s="185"/>
      <c r="E141" s="185"/>
      <c r="F141" s="185"/>
      <c r="G141" s="185"/>
      <c r="H141" s="185"/>
      <c r="I141" s="185"/>
      <c r="J141" s="185"/>
      <c r="K141" s="185"/>
      <c r="L141" s="185"/>
      <c r="M141" s="185"/>
      <c r="N141" s="185"/>
      <c r="O141" s="185"/>
      <c r="P141" s="185"/>
    </row>
    <row r="142" spans="1:16">
      <c r="A142" s="185"/>
      <c r="B142" s="185"/>
      <c r="C142" s="185"/>
      <c r="D142" s="185"/>
      <c r="E142" s="185"/>
      <c r="F142" s="185"/>
      <c r="G142" s="185"/>
      <c r="H142" s="185"/>
      <c r="I142" s="185"/>
      <c r="J142" s="185"/>
      <c r="K142" s="185"/>
      <c r="L142" s="185"/>
      <c r="M142" s="185"/>
      <c r="N142" s="185"/>
      <c r="O142" s="185"/>
      <c r="P142" s="185"/>
    </row>
    <row r="143" spans="1:16">
      <c r="A143" s="185"/>
      <c r="B143" s="185"/>
      <c r="C143" s="185"/>
      <c r="D143" s="185"/>
      <c r="E143" s="185"/>
      <c r="F143" s="185"/>
      <c r="G143" s="185"/>
      <c r="H143" s="185"/>
      <c r="I143" s="185"/>
      <c r="J143" s="185"/>
      <c r="K143" s="185"/>
      <c r="L143" s="185"/>
      <c r="M143" s="185"/>
      <c r="N143" s="185"/>
      <c r="O143" s="185"/>
      <c r="P143" s="185"/>
    </row>
    <row r="144" spans="1:16">
      <c r="A144" s="185"/>
      <c r="B144" s="185"/>
      <c r="C144" s="185"/>
      <c r="D144" s="185"/>
      <c r="E144" s="185"/>
      <c r="F144" s="185"/>
      <c r="G144" s="185"/>
      <c r="H144" s="185"/>
      <c r="I144" s="185"/>
      <c r="J144" s="185"/>
      <c r="K144" s="185"/>
      <c r="L144" s="185"/>
      <c r="M144" s="185"/>
      <c r="N144" s="185"/>
      <c r="O144" s="185"/>
      <c r="P144" s="185"/>
    </row>
    <row r="145" spans="1:16">
      <c r="A145" s="185"/>
      <c r="B145" s="185"/>
      <c r="C145" s="185"/>
      <c r="D145" s="185"/>
      <c r="E145" s="185"/>
      <c r="F145" s="185"/>
      <c r="G145" s="185"/>
      <c r="H145" s="185"/>
      <c r="I145" s="185"/>
      <c r="J145" s="185"/>
      <c r="K145" s="185"/>
      <c r="L145" s="185"/>
      <c r="M145" s="185"/>
      <c r="N145" s="185"/>
      <c r="O145" s="185"/>
      <c r="P145" s="185"/>
    </row>
    <row r="146" spans="1:16">
      <c r="A146" s="185"/>
      <c r="B146" s="185"/>
      <c r="C146" s="185"/>
      <c r="D146" s="185"/>
      <c r="E146" s="185"/>
      <c r="F146" s="185"/>
      <c r="G146" s="185"/>
      <c r="H146" s="185"/>
      <c r="I146" s="185"/>
      <c r="J146" s="185"/>
      <c r="K146" s="185"/>
      <c r="L146" s="185"/>
      <c r="M146" s="185"/>
      <c r="N146" s="185"/>
      <c r="O146" s="185"/>
      <c r="P146" s="185"/>
    </row>
    <row r="147" spans="1:16">
      <c r="A147" s="185"/>
      <c r="B147" s="185"/>
      <c r="C147" s="185"/>
      <c r="D147" s="185"/>
      <c r="E147" s="185"/>
      <c r="F147" s="185"/>
      <c r="G147" s="185"/>
      <c r="H147" s="185"/>
      <c r="I147" s="185"/>
      <c r="J147" s="185"/>
      <c r="K147" s="185"/>
      <c r="L147" s="185"/>
      <c r="M147" s="185"/>
      <c r="N147" s="185"/>
      <c r="O147" s="185"/>
      <c r="P147" s="185"/>
    </row>
    <row r="148" spans="1:16">
      <c r="A148" s="185"/>
      <c r="B148" s="185"/>
      <c r="C148" s="185"/>
      <c r="D148" s="185"/>
      <c r="E148" s="185"/>
      <c r="F148" s="185"/>
      <c r="G148" s="185"/>
      <c r="H148" s="185"/>
      <c r="I148" s="185"/>
      <c r="J148" s="185"/>
      <c r="K148" s="185"/>
      <c r="L148" s="185"/>
      <c r="M148" s="185"/>
      <c r="N148" s="185"/>
      <c r="O148" s="185"/>
      <c r="P148" s="185"/>
    </row>
    <row r="149" spans="1:16">
      <c r="A149" s="185"/>
      <c r="B149" s="185"/>
      <c r="C149" s="185"/>
      <c r="D149" s="185"/>
      <c r="E149" s="185"/>
      <c r="F149" s="185"/>
      <c r="G149" s="185"/>
      <c r="H149" s="185"/>
      <c r="I149" s="185"/>
      <c r="J149" s="185"/>
      <c r="K149" s="185"/>
      <c r="L149" s="185"/>
      <c r="M149" s="185"/>
      <c r="N149" s="185"/>
      <c r="O149" s="185"/>
      <c r="P149" s="185"/>
    </row>
    <row r="150" spans="1:16">
      <c r="A150" s="185"/>
      <c r="B150" s="185"/>
      <c r="C150" s="185"/>
      <c r="D150" s="185"/>
      <c r="E150" s="185"/>
      <c r="F150" s="185"/>
      <c r="G150" s="185"/>
      <c r="H150" s="185"/>
      <c r="I150" s="185"/>
      <c r="J150" s="185"/>
      <c r="K150" s="185"/>
      <c r="L150" s="185"/>
      <c r="M150" s="185"/>
      <c r="N150" s="185"/>
      <c r="O150" s="185"/>
      <c r="P150" s="185"/>
    </row>
    <row r="151" spans="1:16">
      <c r="A151" s="185"/>
      <c r="B151" s="185"/>
      <c r="C151" s="185"/>
      <c r="D151" s="185"/>
      <c r="E151" s="185"/>
      <c r="F151" s="185"/>
      <c r="G151" s="185"/>
      <c r="H151" s="185"/>
      <c r="I151" s="185"/>
      <c r="J151" s="185"/>
      <c r="K151" s="185"/>
      <c r="L151" s="185"/>
      <c r="M151" s="185"/>
      <c r="N151" s="185"/>
      <c r="O151" s="185"/>
      <c r="P151" s="185"/>
    </row>
    <row r="152" spans="1:16">
      <c r="A152" s="185"/>
      <c r="B152" s="185"/>
      <c r="C152" s="185"/>
      <c r="D152" s="185"/>
      <c r="E152" s="185"/>
      <c r="F152" s="185"/>
      <c r="G152" s="185"/>
      <c r="H152" s="185"/>
      <c r="I152" s="185"/>
      <c r="J152" s="185"/>
      <c r="K152" s="185"/>
      <c r="L152" s="185"/>
      <c r="M152" s="185"/>
      <c r="N152" s="185"/>
      <c r="O152" s="185"/>
      <c r="P152" s="185"/>
    </row>
    <row r="153" spans="1:16">
      <c r="A153" s="185"/>
      <c r="B153" s="185"/>
      <c r="C153" s="185"/>
      <c r="D153" s="185"/>
      <c r="E153" s="185"/>
      <c r="F153" s="185"/>
      <c r="G153" s="185"/>
      <c r="H153" s="185"/>
      <c r="I153" s="185"/>
      <c r="J153" s="185"/>
      <c r="K153" s="185"/>
      <c r="L153" s="185"/>
      <c r="M153" s="185"/>
      <c r="N153" s="185"/>
      <c r="O153" s="185"/>
      <c r="P153" s="185"/>
    </row>
    <row r="154" spans="1:16">
      <c r="A154" s="185"/>
      <c r="B154" s="185"/>
      <c r="C154" s="185"/>
      <c r="D154" s="185"/>
      <c r="E154" s="185"/>
      <c r="F154" s="185"/>
      <c r="G154" s="185"/>
      <c r="H154" s="185"/>
      <c r="I154" s="185"/>
      <c r="J154" s="185"/>
      <c r="K154" s="185"/>
      <c r="L154" s="185"/>
      <c r="M154" s="185"/>
      <c r="N154" s="185"/>
      <c r="O154" s="185"/>
      <c r="P154" s="185"/>
    </row>
    <row r="155" spans="1:16">
      <c r="A155" s="185"/>
      <c r="B155" s="185"/>
      <c r="C155" s="185"/>
      <c r="D155" s="185"/>
      <c r="E155" s="185"/>
      <c r="F155" s="185"/>
      <c r="G155" s="185"/>
      <c r="H155" s="185"/>
      <c r="I155" s="185"/>
      <c r="J155" s="185"/>
      <c r="K155" s="185"/>
      <c r="L155" s="185"/>
      <c r="M155" s="185"/>
      <c r="N155" s="185"/>
      <c r="O155" s="185"/>
      <c r="P155" s="185"/>
    </row>
    <row r="156" spans="1:16">
      <c r="A156" s="185"/>
      <c r="B156" s="185"/>
      <c r="C156" s="185"/>
      <c r="D156" s="185"/>
      <c r="E156" s="185"/>
      <c r="F156" s="185"/>
      <c r="G156" s="185"/>
      <c r="H156" s="185"/>
      <c r="I156" s="185"/>
      <c r="J156" s="185"/>
      <c r="K156" s="185"/>
      <c r="L156" s="185"/>
      <c r="M156" s="185"/>
      <c r="N156" s="185"/>
      <c r="O156" s="185"/>
      <c r="P156" s="185"/>
    </row>
    <row r="157" spans="1:16">
      <c r="A157" s="185"/>
      <c r="B157" s="185"/>
      <c r="C157" s="185"/>
      <c r="D157" s="185"/>
      <c r="E157" s="185"/>
      <c r="F157" s="185"/>
      <c r="G157" s="185"/>
      <c r="H157" s="185"/>
      <c r="I157" s="185"/>
      <c r="J157" s="185"/>
      <c r="K157" s="185"/>
      <c r="L157" s="185"/>
      <c r="M157" s="185"/>
      <c r="N157" s="185"/>
      <c r="O157" s="185"/>
      <c r="P157" s="185"/>
    </row>
    <row r="158" spans="1:16">
      <c r="A158" s="185"/>
      <c r="B158" s="185"/>
      <c r="C158" s="185"/>
      <c r="D158" s="185"/>
      <c r="E158" s="185"/>
      <c r="F158" s="185"/>
      <c r="G158" s="185"/>
      <c r="H158" s="185"/>
      <c r="I158" s="185"/>
      <c r="J158" s="185"/>
      <c r="K158" s="185"/>
      <c r="L158" s="185"/>
      <c r="M158" s="185"/>
      <c r="N158" s="185"/>
      <c r="O158" s="185"/>
      <c r="P158" s="185"/>
    </row>
    <row r="159" spans="1:16">
      <c r="A159" s="185"/>
      <c r="B159" s="185"/>
      <c r="C159" s="185"/>
      <c r="D159" s="185"/>
      <c r="E159" s="185"/>
      <c r="F159" s="185"/>
      <c r="G159" s="185"/>
      <c r="H159" s="185"/>
      <c r="I159" s="185"/>
      <c r="J159" s="185"/>
      <c r="K159" s="185"/>
      <c r="L159" s="185"/>
      <c r="M159" s="185"/>
      <c r="N159" s="185"/>
      <c r="O159" s="185"/>
      <c r="P159" s="185"/>
    </row>
    <row r="160" spans="1:16">
      <c r="A160" s="185"/>
      <c r="B160" s="185"/>
      <c r="C160" s="185"/>
      <c r="D160" s="185"/>
      <c r="E160" s="185"/>
      <c r="F160" s="185"/>
      <c r="G160" s="185"/>
      <c r="H160" s="185"/>
      <c r="I160" s="185"/>
      <c r="J160" s="185"/>
      <c r="K160" s="185"/>
      <c r="L160" s="185"/>
      <c r="M160" s="185"/>
      <c r="N160" s="185"/>
      <c r="O160" s="185"/>
      <c r="P160" s="185"/>
    </row>
    <row r="161" spans="1:16">
      <c r="A161" s="185"/>
      <c r="B161" s="185"/>
      <c r="C161" s="185"/>
      <c r="D161" s="185"/>
      <c r="E161" s="185"/>
      <c r="F161" s="185"/>
      <c r="G161" s="185"/>
      <c r="H161" s="185"/>
      <c r="I161" s="185"/>
      <c r="J161" s="185"/>
      <c r="K161" s="185"/>
      <c r="L161" s="185"/>
      <c r="M161" s="185"/>
      <c r="N161" s="185"/>
      <c r="O161" s="185"/>
      <c r="P161" s="185"/>
    </row>
    <row r="162" spans="1:16">
      <c r="A162" s="185"/>
      <c r="B162" s="185"/>
      <c r="C162" s="185"/>
      <c r="D162" s="185"/>
      <c r="E162" s="185"/>
      <c r="F162" s="185"/>
      <c r="G162" s="185"/>
      <c r="H162" s="185"/>
      <c r="I162" s="185"/>
      <c r="J162" s="185"/>
      <c r="K162" s="185"/>
      <c r="L162" s="185"/>
      <c r="M162" s="185"/>
      <c r="N162" s="185"/>
      <c r="O162" s="185"/>
      <c r="P162" s="185"/>
    </row>
    <row r="163" spans="1:16">
      <c r="A163" s="185"/>
      <c r="B163" s="185"/>
      <c r="C163" s="185"/>
      <c r="D163" s="185"/>
      <c r="E163" s="185"/>
      <c r="F163" s="185"/>
      <c r="G163" s="185"/>
      <c r="H163" s="185"/>
      <c r="I163" s="185"/>
      <c r="J163" s="185"/>
      <c r="K163" s="185"/>
      <c r="L163" s="185"/>
      <c r="M163" s="185"/>
      <c r="N163" s="185"/>
      <c r="O163" s="185"/>
      <c r="P163" s="185"/>
    </row>
    <row r="164" spans="1:16">
      <c r="A164" s="185"/>
      <c r="B164" s="185"/>
      <c r="C164" s="185"/>
      <c r="D164" s="185"/>
      <c r="E164" s="185"/>
      <c r="F164" s="185"/>
      <c r="G164" s="185"/>
      <c r="H164" s="185"/>
      <c r="I164" s="185"/>
      <c r="J164" s="185"/>
      <c r="K164" s="185"/>
      <c r="L164" s="185"/>
      <c r="M164" s="185"/>
      <c r="N164" s="185"/>
      <c r="O164" s="185"/>
      <c r="P164" s="185"/>
    </row>
    <row r="165" spans="1:16">
      <c r="A165" s="185"/>
      <c r="B165" s="185"/>
      <c r="C165" s="185"/>
      <c r="D165" s="185"/>
      <c r="E165" s="185"/>
      <c r="F165" s="185"/>
      <c r="G165" s="185"/>
      <c r="H165" s="185"/>
      <c r="I165" s="185"/>
      <c r="J165" s="185"/>
      <c r="K165" s="185"/>
      <c r="L165" s="185"/>
      <c r="M165" s="185"/>
      <c r="N165" s="185"/>
      <c r="O165" s="185"/>
      <c r="P165" s="185"/>
    </row>
    <row r="166" spans="1:16">
      <c r="A166" s="185"/>
      <c r="B166" s="185"/>
      <c r="C166" s="185"/>
      <c r="D166" s="185"/>
      <c r="E166" s="185"/>
      <c r="F166" s="185"/>
      <c r="G166" s="185"/>
      <c r="H166" s="185"/>
      <c r="I166" s="185"/>
      <c r="J166" s="185"/>
      <c r="K166" s="185"/>
      <c r="L166" s="185"/>
      <c r="M166" s="185"/>
      <c r="N166" s="185"/>
      <c r="O166" s="185"/>
      <c r="P166" s="185"/>
    </row>
    <row r="167" spans="1:16">
      <c r="A167" s="185"/>
      <c r="B167" s="185"/>
      <c r="C167" s="185"/>
      <c r="D167" s="185"/>
      <c r="E167" s="185"/>
      <c r="F167" s="185"/>
      <c r="G167" s="185"/>
      <c r="H167" s="185"/>
      <c r="I167" s="185"/>
      <c r="J167" s="185"/>
      <c r="K167" s="185"/>
      <c r="L167" s="185"/>
      <c r="M167" s="185"/>
      <c r="N167" s="185"/>
      <c r="O167" s="185"/>
      <c r="P167" s="185"/>
    </row>
    <row r="168" spans="1:16">
      <c r="A168" s="185"/>
      <c r="B168" s="185"/>
      <c r="C168" s="185"/>
      <c r="D168" s="185"/>
      <c r="E168" s="185"/>
      <c r="F168" s="185"/>
      <c r="G168" s="185"/>
      <c r="H168" s="185"/>
      <c r="I168" s="185"/>
      <c r="J168" s="185"/>
      <c r="K168" s="185"/>
      <c r="L168" s="185"/>
      <c r="M168" s="185"/>
      <c r="N168" s="185"/>
      <c r="O168" s="185"/>
      <c r="P168" s="185"/>
    </row>
    <row r="169" spans="1:16">
      <c r="A169" s="185"/>
      <c r="B169" s="185"/>
      <c r="C169" s="185"/>
      <c r="D169" s="185"/>
      <c r="E169" s="185"/>
      <c r="F169" s="185"/>
      <c r="G169" s="185"/>
      <c r="H169" s="185"/>
      <c r="I169" s="185"/>
      <c r="J169" s="185"/>
      <c r="K169" s="185"/>
      <c r="L169" s="185"/>
      <c r="M169" s="185"/>
      <c r="N169" s="185"/>
      <c r="O169" s="185"/>
      <c r="P169" s="185"/>
    </row>
    <row r="170" spans="1:16">
      <c r="A170" s="185"/>
      <c r="B170" s="185"/>
      <c r="C170" s="185"/>
      <c r="D170" s="185"/>
      <c r="E170" s="185"/>
      <c r="F170" s="185"/>
      <c r="G170" s="185"/>
      <c r="H170" s="185"/>
      <c r="I170" s="185"/>
      <c r="J170" s="185"/>
      <c r="K170" s="185"/>
      <c r="L170" s="185"/>
      <c r="M170" s="185"/>
      <c r="N170" s="185"/>
      <c r="O170" s="185"/>
      <c r="P170" s="185"/>
    </row>
    <row r="171" spans="1:16">
      <c r="A171" s="185"/>
      <c r="B171" s="185"/>
      <c r="C171" s="185"/>
      <c r="D171" s="185"/>
      <c r="E171" s="185"/>
      <c r="F171" s="185"/>
      <c r="G171" s="185"/>
      <c r="H171" s="185"/>
      <c r="I171" s="185"/>
      <c r="J171" s="185"/>
      <c r="K171" s="185"/>
      <c r="L171" s="185"/>
      <c r="M171" s="185"/>
      <c r="N171" s="185"/>
      <c r="O171" s="185"/>
      <c r="P171" s="185"/>
    </row>
    <row r="172" spans="1:16">
      <c r="A172" s="185"/>
      <c r="B172" s="185"/>
      <c r="C172" s="185"/>
      <c r="D172" s="185"/>
      <c r="E172" s="185"/>
      <c r="F172" s="185"/>
      <c r="G172" s="185"/>
      <c r="H172" s="185"/>
      <c r="I172" s="185"/>
      <c r="J172" s="185"/>
      <c r="K172" s="185"/>
      <c r="L172" s="185"/>
      <c r="M172" s="185"/>
      <c r="N172" s="185"/>
      <c r="O172" s="185"/>
      <c r="P172" s="185"/>
    </row>
    <row r="173" spans="1:16">
      <c r="A173" s="185"/>
      <c r="B173" s="185"/>
      <c r="C173" s="185"/>
      <c r="D173" s="185"/>
      <c r="E173" s="185"/>
      <c r="F173" s="185"/>
      <c r="G173" s="185"/>
      <c r="H173" s="185"/>
      <c r="I173" s="185"/>
      <c r="J173" s="185"/>
      <c r="K173" s="185"/>
      <c r="L173" s="185"/>
      <c r="M173" s="185"/>
      <c r="N173" s="185"/>
      <c r="O173" s="185"/>
      <c r="P173" s="185"/>
    </row>
    <row r="174" spans="1:16">
      <c r="A174" s="185"/>
      <c r="B174" s="185"/>
      <c r="C174" s="185"/>
      <c r="D174" s="185"/>
      <c r="E174" s="185"/>
      <c r="F174" s="185"/>
      <c r="G174" s="185"/>
      <c r="H174" s="185"/>
      <c r="I174" s="185"/>
      <c r="J174" s="185"/>
      <c r="K174" s="185"/>
      <c r="L174" s="185"/>
      <c r="M174" s="185"/>
      <c r="N174" s="185"/>
      <c r="O174" s="185"/>
      <c r="P174" s="185"/>
    </row>
    <row r="175" spans="1:16">
      <c r="A175" s="185"/>
      <c r="B175" s="185"/>
      <c r="C175" s="185"/>
      <c r="D175" s="185"/>
      <c r="E175" s="185"/>
      <c r="F175" s="185"/>
      <c r="G175" s="185"/>
      <c r="H175" s="185"/>
      <c r="I175" s="185"/>
      <c r="J175" s="185"/>
      <c r="K175" s="185"/>
      <c r="L175" s="185"/>
      <c r="M175" s="185"/>
      <c r="N175" s="185"/>
      <c r="O175" s="185"/>
      <c r="P175" s="185"/>
    </row>
    <row r="176" spans="1:16">
      <c r="A176" s="185"/>
      <c r="B176" s="185"/>
      <c r="C176" s="185"/>
      <c r="D176" s="185"/>
      <c r="E176" s="185"/>
      <c r="F176" s="185"/>
      <c r="G176" s="185"/>
      <c r="H176" s="185"/>
      <c r="I176" s="185"/>
      <c r="J176" s="185"/>
      <c r="K176" s="185"/>
      <c r="L176" s="185"/>
      <c r="M176" s="185"/>
      <c r="N176" s="185"/>
      <c r="O176" s="185"/>
      <c r="P176" s="185"/>
    </row>
    <row r="177" spans="1:16">
      <c r="A177" s="185"/>
      <c r="B177" s="185"/>
      <c r="C177" s="185"/>
      <c r="D177" s="185"/>
      <c r="E177" s="185"/>
      <c r="F177" s="185"/>
      <c r="G177" s="185"/>
      <c r="H177" s="185"/>
      <c r="I177" s="185"/>
      <c r="J177" s="185"/>
      <c r="K177" s="185"/>
      <c r="L177" s="185"/>
      <c r="M177" s="185"/>
      <c r="N177" s="185"/>
      <c r="O177" s="185"/>
      <c r="P177" s="185"/>
    </row>
    <row r="178" spans="1:16">
      <c r="A178" s="185"/>
      <c r="B178" s="185"/>
      <c r="C178" s="185"/>
      <c r="D178" s="185"/>
      <c r="E178" s="185"/>
      <c r="F178" s="185"/>
      <c r="G178" s="185"/>
      <c r="H178" s="185"/>
      <c r="I178" s="185"/>
      <c r="J178" s="185"/>
      <c r="K178" s="185"/>
      <c r="L178" s="185"/>
      <c r="M178" s="185"/>
      <c r="N178" s="185"/>
      <c r="O178" s="185"/>
      <c r="P178" s="185"/>
    </row>
    <row r="179" spans="1:16">
      <c r="A179" s="185"/>
      <c r="B179" s="185"/>
      <c r="C179" s="185"/>
      <c r="D179" s="185"/>
      <c r="E179" s="185"/>
      <c r="F179" s="185"/>
      <c r="G179" s="185"/>
      <c r="H179" s="185"/>
      <c r="I179" s="185"/>
      <c r="J179" s="185"/>
      <c r="K179" s="185"/>
      <c r="L179" s="185"/>
      <c r="M179" s="185"/>
      <c r="N179" s="185"/>
      <c r="O179" s="185"/>
      <c r="P179" s="185"/>
    </row>
    <row r="180" spans="1:16">
      <c r="A180" s="185"/>
      <c r="B180" s="185"/>
      <c r="C180" s="185"/>
      <c r="D180" s="185"/>
      <c r="E180" s="185"/>
      <c r="F180" s="185"/>
      <c r="G180" s="185"/>
      <c r="H180" s="185"/>
      <c r="I180" s="185"/>
      <c r="J180" s="185"/>
      <c r="K180" s="185"/>
      <c r="L180" s="185"/>
      <c r="M180" s="185"/>
      <c r="N180" s="185"/>
      <c r="O180" s="185"/>
      <c r="P180" s="185"/>
    </row>
    <row r="181" spans="1:16">
      <c r="A181" s="185"/>
      <c r="B181" s="185"/>
      <c r="C181" s="185"/>
      <c r="D181" s="185"/>
      <c r="E181" s="185"/>
      <c r="F181" s="185"/>
      <c r="G181" s="185"/>
      <c r="H181" s="185"/>
      <c r="I181" s="185"/>
      <c r="J181" s="185"/>
      <c r="K181" s="185"/>
      <c r="L181" s="185"/>
      <c r="M181" s="185"/>
      <c r="N181" s="185"/>
      <c r="O181" s="185"/>
      <c r="P181" s="185"/>
    </row>
    <row r="182" spans="1:16">
      <c r="A182" s="185"/>
      <c r="B182" s="185"/>
      <c r="C182" s="185"/>
      <c r="D182" s="185"/>
      <c r="E182" s="185"/>
      <c r="F182" s="185"/>
      <c r="G182" s="185"/>
      <c r="H182" s="185"/>
      <c r="I182" s="185"/>
      <c r="J182" s="185"/>
      <c r="K182" s="185"/>
      <c r="L182" s="185"/>
      <c r="M182" s="185"/>
      <c r="N182" s="185"/>
      <c r="O182" s="185"/>
      <c r="P182" s="185"/>
    </row>
    <row r="183" spans="1:16">
      <c r="A183" s="185"/>
      <c r="B183" s="185"/>
      <c r="C183" s="185"/>
      <c r="D183" s="185"/>
      <c r="E183" s="185"/>
      <c r="F183" s="185"/>
      <c r="G183" s="185"/>
      <c r="H183" s="185"/>
      <c r="I183" s="185"/>
      <c r="J183" s="185"/>
      <c r="K183" s="185"/>
      <c r="L183" s="185"/>
      <c r="M183" s="185"/>
      <c r="N183" s="185"/>
      <c r="O183" s="185"/>
      <c r="P183" s="185"/>
    </row>
    <row r="184" spans="1:16">
      <c r="A184" s="185"/>
      <c r="B184" s="185"/>
      <c r="C184" s="185"/>
      <c r="D184" s="185"/>
      <c r="E184" s="185"/>
      <c r="F184" s="185"/>
      <c r="G184" s="185"/>
      <c r="H184" s="185"/>
      <c r="I184" s="185"/>
      <c r="J184" s="185"/>
      <c r="K184" s="185"/>
      <c r="L184" s="185"/>
      <c r="M184" s="185"/>
      <c r="N184" s="185"/>
      <c r="O184" s="185"/>
      <c r="P184" s="185"/>
    </row>
    <row r="185" spans="1:16">
      <c r="A185" s="185"/>
      <c r="B185" s="185"/>
      <c r="C185" s="185"/>
      <c r="D185" s="185"/>
      <c r="E185" s="185"/>
      <c r="F185" s="185"/>
      <c r="G185" s="185"/>
      <c r="H185" s="185"/>
      <c r="I185" s="185"/>
      <c r="J185" s="185"/>
      <c r="K185" s="185"/>
      <c r="L185" s="185"/>
      <c r="M185" s="185"/>
      <c r="N185" s="185"/>
      <c r="O185" s="185"/>
      <c r="P185" s="185"/>
    </row>
    <row r="186" spans="1:16">
      <c r="A186" s="185"/>
      <c r="B186" s="185"/>
      <c r="C186" s="185"/>
      <c r="D186" s="185"/>
      <c r="E186" s="185"/>
      <c r="F186" s="185"/>
      <c r="G186" s="185"/>
      <c r="H186" s="185"/>
      <c r="I186" s="185"/>
      <c r="J186" s="185"/>
      <c r="K186" s="185"/>
      <c r="L186" s="185"/>
      <c r="M186" s="185"/>
      <c r="N186" s="185"/>
      <c r="O186" s="185"/>
      <c r="P186" s="185"/>
    </row>
    <row r="187" spans="1:16">
      <c r="A187" s="185"/>
      <c r="B187" s="185"/>
      <c r="C187" s="185"/>
      <c r="D187" s="185"/>
      <c r="E187" s="185"/>
      <c r="F187" s="185"/>
      <c r="G187" s="185"/>
      <c r="H187" s="185"/>
      <c r="I187" s="185"/>
      <c r="J187" s="185"/>
      <c r="K187" s="185"/>
      <c r="L187" s="185"/>
      <c r="M187" s="185"/>
      <c r="N187" s="185"/>
      <c r="O187" s="185"/>
      <c r="P187" s="185"/>
    </row>
    <row r="188" spans="1:16">
      <c r="A188" s="185"/>
      <c r="B188" s="185"/>
      <c r="C188" s="185"/>
      <c r="D188" s="185"/>
      <c r="E188" s="185"/>
      <c r="F188" s="185"/>
      <c r="G188" s="185"/>
      <c r="H188" s="185"/>
      <c r="I188" s="185"/>
      <c r="J188" s="185"/>
      <c r="K188" s="185"/>
      <c r="L188" s="185"/>
      <c r="M188" s="185"/>
      <c r="N188" s="185"/>
      <c r="O188" s="185"/>
      <c r="P188" s="185"/>
    </row>
    <row r="189" spans="1:16">
      <c r="A189" s="185"/>
      <c r="B189" s="185"/>
      <c r="C189" s="185"/>
      <c r="D189" s="185"/>
      <c r="E189" s="185"/>
      <c r="F189" s="185"/>
      <c r="G189" s="185"/>
      <c r="H189" s="185"/>
      <c r="I189" s="185"/>
      <c r="J189" s="185"/>
      <c r="K189" s="185"/>
      <c r="L189" s="185"/>
      <c r="M189" s="185"/>
      <c r="N189" s="185"/>
      <c r="O189" s="185"/>
      <c r="P189" s="185"/>
    </row>
    <row r="190" spans="1:16">
      <c r="A190" s="185"/>
      <c r="B190" s="185"/>
      <c r="C190" s="185"/>
      <c r="D190" s="185"/>
      <c r="E190" s="185"/>
      <c r="F190" s="185"/>
      <c r="G190" s="185"/>
      <c r="H190" s="185"/>
      <c r="I190" s="185"/>
      <c r="J190" s="185"/>
      <c r="K190" s="185"/>
      <c r="L190" s="185"/>
      <c r="M190" s="185"/>
      <c r="N190" s="185"/>
      <c r="O190" s="185"/>
      <c r="P190" s="185"/>
    </row>
    <row r="191" spans="1:16">
      <c r="A191" s="185"/>
      <c r="B191" s="185"/>
      <c r="C191" s="185"/>
      <c r="D191" s="185"/>
      <c r="E191" s="185"/>
      <c r="F191" s="185"/>
      <c r="G191" s="185"/>
      <c r="H191" s="185"/>
      <c r="I191" s="185"/>
      <c r="J191" s="185"/>
      <c r="K191" s="185"/>
      <c r="L191" s="185"/>
      <c r="M191" s="185"/>
      <c r="N191" s="185"/>
      <c r="O191" s="185"/>
      <c r="P191" s="185"/>
    </row>
    <row r="192" spans="1:16">
      <c r="A192" s="185"/>
      <c r="B192" s="185"/>
      <c r="C192" s="185"/>
      <c r="D192" s="185"/>
      <c r="E192" s="185"/>
      <c r="F192" s="185"/>
      <c r="G192" s="185"/>
      <c r="H192" s="185"/>
      <c r="I192" s="185"/>
      <c r="J192" s="185"/>
      <c r="K192" s="185"/>
      <c r="L192" s="185"/>
      <c r="M192" s="185"/>
      <c r="N192" s="185"/>
      <c r="O192" s="185"/>
      <c r="P192" s="185"/>
    </row>
    <row r="193" spans="1:16">
      <c r="A193" s="185"/>
      <c r="B193" s="185"/>
      <c r="C193" s="185"/>
      <c r="D193" s="185"/>
      <c r="E193" s="185"/>
      <c r="F193" s="185"/>
      <c r="G193" s="185"/>
      <c r="H193" s="185"/>
      <c r="I193" s="185"/>
      <c r="J193" s="185"/>
      <c r="K193" s="185"/>
      <c r="L193" s="185"/>
      <c r="M193" s="185"/>
      <c r="N193" s="185"/>
      <c r="O193" s="185"/>
      <c r="P193" s="185"/>
    </row>
    <row r="194" spans="1:16">
      <c r="A194" s="185"/>
      <c r="B194" s="185"/>
      <c r="C194" s="185"/>
      <c r="D194" s="185"/>
      <c r="E194" s="185"/>
      <c r="F194" s="185"/>
      <c r="G194" s="185"/>
      <c r="H194" s="185"/>
      <c r="I194" s="185"/>
      <c r="J194" s="185"/>
      <c r="K194" s="185"/>
      <c r="L194" s="185"/>
      <c r="M194" s="185"/>
      <c r="N194" s="185"/>
      <c r="O194" s="185"/>
      <c r="P194" s="185"/>
    </row>
    <row r="195" spans="1:16">
      <c r="A195" s="185"/>
      <c r="B195" s="185"/>
      <c r="C195" s="185"/>
      <c r="D195" s="185"/>
      <c r="E195" s="185"/>
      <c r="F195" s="185"/>
      <c r="G195" s="185"/>
      <c r="H195" s="185"/>
      <c r="I195" s="185"/>
      <c r="J195" s="185"/>
      <c r="K195" s="185"/>
      <c r="L195" s="185"/>
      <c r="M195" s="185"/>
      <c r="N195" s="185"/>
      <c r="O195" s="185"/>
      <c r="P195" s="185"/>
    </row>
    <row r="196" spans="1:16">
      <c r="A196" s="185"/>
      <c r="B196" s="185"/>
      <c r="C196" s="185"/>
      <c r="D196" s="185"/>
      <c r="E196" s="185"/>
      <c r="F196" s="185"/>
      <c r="G196" s="185"/>
      <c r="H196" s="185"/>
      <c r="I196" s="185"/>
      <c r="J196" s="185"/>
      <c r="K196" s="185"/>
      <c r="L196" s="185"/>
      <c r="M196" s="185"/>
      <c r="N196" s="185"/>
      <c r="O196" s="185"/>
      <c r="P196" s="185"/>
    </row>
    <row r="197" spans="1:16">
      <c r="A197" s="185"/>
      <c r="B197" s="185"/>
      <c r="C197" s="185"/>
      <c r="D197" s="185"/>
      <c r="E197" s="185"/>
      <c r="F197" s="185"/>
      <c r="G197" s="185"/>
      <c r="H197" s="185"/>
      <c r="I197" s="185"/>
      <c r="J197" s="185"/>
      <c r="K197" s="185"/>
      <c r="L197" s="185"/>
      <c r="M197" s="185"/>
      <c r="N197" s="185"/>
      <c r="O197" s="185"/>
      <c r="P197" s="185"/>
    </row>
    <row r="198" spans="1:16">
      <c r="A198" s="185"/>
      <c r="B198" s="185"/>
      <c r="C198" s="185"/>
      <c r="D198" s="185"/>
      <c r="E198" s="185"/>
      <c r="F198" s="185"/>
      <c r="G198" s="185"/>
      <c r="H198" s="185"/>
      <c r="I198" s="185"/>
      <c r="J198" s="185"/>
      <c r="K198" s="185"/>
      <c r="L198" s="185"/>
      <c r="M198" s="185"/>
      <c r="N198" s="185"/>
      <c r="O198" s="185"/>
      <c r="P198" s="185"/>
    </row>
    <row r="199" spans="1:16">
      <c r="A199" s="185"/>
      <c r="B199" s="185"/>
      <c r="C199" s="185"/>
      <c r="D199" s="185"/>
      <c r="E199" s="185"/>
      <c r="F199" s="185"/>
      <c r="G199" s="185"/>
      <c r="H199" s="185"/>
      <c r="I199" s="185"/>
      <c r="J199" s="185"/>
      <c r="K199" s="185"/>
      <c r="L199" s="185"/>
      <c r="M199" s="185"/>
      <c r="N199" s="185"/>
      <c r="O199" s="185"/>
      <c r="P199" s="185"/>
    </row>
    <row r="200" spans="1:16">
      <c r="A200" s="185"/>
      <c r="B200" s="185"/>
      <c r="C200" s="185"/>
      <c r="D200" s="185"/>
      <c r="E200" s="185"/>
      <c r="F200" s="185"/>
      <c r="G200" s="185"/>
      <c r="H200" s="185"/>
      <c r="I200" s="185"/>
      <c r="J200" s="185"/>
      <c r="K200" s="185"/>
      <c r="L200" s="185"/>
      <c r="M200" s="185"/>
      <c r="N200" s="185"/>
      <c r="O200" s="185"/>
      <c r="P200" s="185"/>
    </row>
    <row r="201" spans="1:16">
      <c r="A201" s="185"/>
      <c r="B201" s="185"/>
      <c r="C201" s="185"/>
      <c r="D201" s="185"/>
      <c r="E201" s="185"/>
      <c r="F201" s="185"/>
      <c r="G201" s="185"/>
      <c r="H201" s="185"/>
      <c r="I201" s="185"/>
      <c r="J201" s="185"/>
      <c r="K201" s="185"/>
      <c r="L201" s="185"/>
      <c r="M201" s="185"/>
      <c r="N201" s="185"/>
      <c r="O201" s="185"/>
      <c r="P201" s="185"/>
    </row>
    <row r="202" spans="1:16">
      <c r="A202" s="185"/>
      <c r="B202" s="185"/>
      <c r="C202" s="185"/>
      <c r="D202" s="185"/>
      <c r="E202" s="185"/>
      <c r="F202" s="185"/>
      <c r="G202" s="185"/>
      <c r="H202" s="185"/>
      <c r="I202" s="185"/>
      <c r="J202" s="185"/>
      <c r="K202" s="185"/>
      <c r="L202" s="185"/>
      <c r="M202" s="185"/>
      <c r="N202" s="185"/>
      <c r="O202" s="185"/>
      <c r="P202" s="185"/>
    </row>
    <row r="203" spans="1:16">
      <c r="A203" s="185"/>
      <c r="B203" s="185"/>
      <c r="C203" s="185"/>
      <c r="D203" s="185"/>
      <c r="E203" s="185"/>
      <c r="F203" s="185"/>
      <c r="G203" s="185"/>
      <c r="H203" s="185"/>
      <c r="I203" s="185"/>
      <c r="J203" s="185"/>
      <c r="K203" s="185"/>
      <c r="L203" s="185"/>
      <c r="M203" s="185"/>
      <c r="N203" s="185"/>
      <c r="O203" s="185"/>
      <c r="P203" s="185"/>
    </row>
    <row r="204" spans="1:16">
      <c r="A204" s="185"/>
      <c r="B204" s="185"/>
      <c r="C204" s="185"/>
      <c r="D204" s="185"/>
      <c r="E204" s="185"/>
      <c r="F204" s="185"/>
      <c r="G204" s="185"/>
      <c r="H204" s="185"/>
      <c r="I204" s="185"/>
      <c r="J204" s="185"/>
      <c r="K204" s="185"/>
      <c r="L204" s="185"/>
      <c r="M204" s="185"/>
      <c r="N204" s="185"/>
      <c r="O204" s="185"/>
      <c r="P204" s="185"/>
    </row>
    <row r="205" spans="1:16">
      <c r="A205" s="185"/>
      <c r="B205" s="185"/>
      <c r="C205" s="185"/>
      <c r="D205" s="185"/>
      <c r="E205" s="185"/>
      <c r="F205" s="185"/>
      <c r="G205" s="185"/>
      <c r="H205" s="185"/>
      <c r="I205" s="185"/>
      <c r="J205" s="185"/>
      <c r="K205" s="185"/>
      <c r="L205" s="185"/>
      <c r="M205" s="185"/>
      <c r="N205" s="185"/>
      <c r="O205" s="185"/>
      <c r="P205" s="185"/>
    </row>
    <row r="206" spans="1:16">
      <c r="A206" s="185"/>
      <c r="B206" s="185"/>
      <c r="C206" s="185"/>
      <c r="D206" s="185"/>
      <c r="E206" s="185"/>
      <c r="F206" s="185"/>
      <c r="G206" s="185"/>
      <c r="H206" s="185"/>
      <c r="I206" s="185"/>
      <c r="J206" s="185"/>
      <c r="K206" s="185"/>
      <c r="L206" s="185"/>
      <c r="M206" s="185"/>
      <c r="N206" s="185"/>
      <c r="O206" s="185"/>
      <c r="P206" s="185"/>
    </row>
    <row r="207" spans="1:16">
      <c r="A207" s="185"/>
      <c r="B207" s="185"/>
      <c r="C207" s="185"/>
      <c r="D207" s="185"/>
      <c r="E207" s="185"/>
      <c r="F207" s="185"/>
      <c r="G207" s="185"/>
      <c r="H207" s="185"/>
      <c r="I207" s="185"/>
      <c r="J207" s="185"/>
      <c r="K207" s="185"/>
      <c r="L207" s="185"/>
      <c r="M207" s="185"/>
      <c r="N207" s="185"/>
      <c r="O207" s="185"/>
      <c r="P207" s="185"/>
    </row>
    <row r="208" spans="1:16">
      <c r="A208" s="185"/>
      <c r="B208" s="185"/>
      <c r="C208" s="185"/>
      <c r="D208" s="185"/>
      <c r="E208" s="185"/>
      <c r="F208" s="185"/>
      <c r="G208" s="185"/>
      <c r="H208" s="185"/>
      <c r="I208" s="185"/>
      <c r="J208" s="185"/>
      <c r="K208" s="185"/>
      <c r="L208" s="185"/>
      <c r="M208" s="185"/>
      <c r="N208" s="185"/>
      <c r="O208" s="185"/>
      <c r="P208" s="185"/>
    </row>
    <row r="209" spans="1:16">
      <c r="A209" s="185"/>
      <c r="B209" s="185"/>
      <c r="C209" s="185"/>
      <c r="D209" s="185"/>
      <c r="E209" s="185"/>
      <c r="F209" s="185"/>
      <c r="G209" s="185"/>
      <c r="H209" s="185"/>
      <c r="I209" s="185"/>
      <c r="J209" s="185"/>
      <c r="K209" s="185"/>
      <c r="L209" s="185"/>
      <c r="M209" s="185"/>
      <c r="N209" s="185"/>
      <c r="O209" s="185"/>
      <c r="P209" s="185"/>
    </row>
    <row r="210" spans="1:16">
      <c r="A210" s="185"/>
      <c r="B210" s="185"/>
      <c r="C210" s="185"/>
      <c r="D210" s="185"/>
      <c r="E210" s="185"/>
      <c r="F210" s="185"/>
      <c r="G210" s="185"/>
      <c r="H210" s="185"/>
      <c r="I210" s="185"/>
      <c r="J210" s="185"/>
      <c r="K210" s="185"/>
      <c r="L210" s="185"/>
      <c r="M210" s="185"/>
      <c r="N210" s="185"/>
      <c r="O210" s="185"/>
      <c r="P210" s="185"/>
    </row>
    <row r="211" spans="1:16">
      <c r="A211" s="185"/>
      <c r="B211" s="185"/>
      <c r="C211" s="185"/>
      <c r="D211" s="185"/>
      <c r="E211" s="185"/>
      <c r="F211" s="185"/>
      <c r="G211" s="185"/>
      <c r="H211" s="185"/>
      <c r="I211" s="185"/>
      <c r="J211" s="185"/>
      <c r="K211" s="185"/>
      <c r="L211" s="185"/>
      <c r="M211" s="185"/>
      <c r="N211" s="185"/>
      <c r="O211" s="185"/>
      <c r="P211" s="185"/>
    </row>
    <row r="212" spans="1:16">
      <c r="A212" s="185"/>
      <c r="B212" s="185"/>
      <c r="C212" s="185"/>
      <c r="D212" s="185"/>
      <c r="E212" s="185"/>
      <c r="F212" s="185"/>
      <c r="G212" s="185"/>
      <c r="H212" s="185"/>
      <c r="I212" s="185"/>
      <c r="J212" s="185"/>
      <c r="K212" s="185"/>
      <c r="L212" s="185"/>
      <c r="M212" s="185"/>
      <c r="N212" s="185"/>
      <c r="O212" s="185"/>
      <c r="P212" s="185"/>
    </row>
    <row r="213" spans="1:16">
      <c r="A213" s="185"/>
      <c r="B213" s="185"/>
      <c r="C213" s="185"/>
      <c r="D213" s="185"/>
      <c r="E213" s="185"/>
      <c r="F213" s="185"/>
      <c r="G213" s="185"/>
      <c r="H213" s="185"/>
      <c r="I213" s="185"/>
      <c r="J213" s="185"/>
      <c r="K213" s="185"/>
      <c r="L213" s="185"/>
      <c r="M213" s="185"/>
      <c r="N213" s="185"/>
      <c r="O213" s="185"/>
      <c r="P213" s="185"/>
    </row>
    <row r="214" spans="1:16">
      <c r="A214" s="185"/>
      <c r="B214" s="185"/>
      <c r="C214" s="185"/>
      <c r="D214" s="185"/>
      <c r="E214" s="185"/>
      <c r="F214" s="185"/>
      <c r="G214" s="185"/>
      <c r="H214" s="185"/>
      <c r="I214" s="185"/>
      <c r="J214" s="185"/>
      <c r="K214" s="185"/>
      <c r="L214" s="185"/>
      <c r="M214" s="185"/>
      <c r="N214" s="185"/>
      <c r="O214" s="185"/>
      <c r="P214" s="185"/>
    </row>
    <row r="215" spans="1:16">
      <c r="A215" s="185"/>
      <c r="B215" s="185"/>
      <c r="C215" s="185"/>
      <c r="D215" s="185"/>
      <c r="E215" s="185"/>
      <c r="F215" s="185"/>
      <c r="G215" s="185"/>
      <c r="H215" s="185"/>
      <c r="I215" s="185"/>
      <c r="J215" s="185"/>
      <c r="K215" s="185"/>
      <c r="L215" s="185"/>
      <c r="M215" s="185"/>
      <c r="N215" s="185"/>
      <c r="O215" s="185"/>
      <c r="P215" s="185"/>
    </row>
    <row r="216" spans="1:16">
      <c r="A216" s="185"/>
      <c r="B216" s="185"/>
      <c r="C216" s="185"/>
      <c r="D216" s="185"/>
      <c r="E216" s="185"/>
      <c r="F216" s="185"/>
      <c r="G216" s="185"/>
      <c r="H216" s="185"/>
      <c r="I216" s="185"/>
      <c r="J216" s="185"/>
      <c r="K216" s="185"/>
      <c r="L216" s="185"/>
      <c r="M216" s="185"/>
      <c r="N216" s="185"/>
      <c r="O216" s="185"/>
      <c r="P216" s="185"/>
    </row>
    <row r="217" spans="1:16">
      <c r="A217" s="185"/>
      <c r="B217" s="185"/>
      <c r="C217" s="185"/>
      <c r="D217" s="185"/>
      <c r="E217" s="185"/>
      <c r="F217" s="185"/>
      <c r="G217" s="185"/>
      <c r="H217" s="185"/>
      <c r="I217" s="185"/>
      <c r="J217" s="185"/>
      <c r="K217" s="185"/>
      <c r="L217" s="185"/>
      <c r="M217" s="185"/>
      <c r="N217" s="185"/>
      <c r="O217" s="185"/>
      <c r="P217" s="185"/>
    </row>
    <row r="218" spans="1:16">
      <c r="A218" s="185"/>
      <c r="B218" s="185"/>
      <c r="C218" s="185"/>
      <c r="D218" s="185"/>
      <c r="E218" s="185"/>
      <c r="F218" s="185"/>
      <c r="G218" s="185"/>
      <c r="H218" s="185"/>
      <c r="I218" s="185"/>
      <c r="J218" s="185"/>
      <c r="K218" s="185"/>
      <c r="L218" s="185"/>
      <c r="M218" s="185"/>
      <c r="N218" s="185"/>
      <c r="O218" s="185"/>
      <c r="P218" s="185"/>
    </row>
    <row r="219" spans="1:16">
      <c r="A219" s="185"/>
      <c r="B219" s="185"/>
      <c r="C219" s="185"/>
      <c r="D219" s="185"/>
      <c r="E219" s="185"/>
      <c r="F219" s="185"/>
      <c r="G219" s="185"/>
      <c r="H219" s="185"/>
      <c r="I219" s="185"/>
      <c r="J219" s="185"/>
      <c r="K219" s="185"/>
      <c r="L219" s="185"/>
      <c r="M219" s="185"/>
      <c r="N219" s="185"/>
      <c r="O219" s="185"/>
      <c r="P219" s="185"/>
    </row>
    <row r="220" spans="1:16">
      <c r="A220" s="185"/>
      <c r="B220" s="185"/>
      <c r="C220" s="185"/>
      <c r="D220" s="185"/>
      <c r="E220" s="185"/>
      <c r="F220" s="185"/>
      <c r="G220" s="185"/>
      <c r="H220" s="185"/>
      <c r="I220" s="185"/>
      <c r="J220" s="185"/>
      <c r="K220" s="185"/>
      <c r="L220" s="185"/>
      <c r="M220" s="185"/>
      <c r="N220" s="185"/>
      <c r="O220" s="185"/>
      <c r="P220" s="185"/>
    </row>
    <row r="221" spans="1:16">
      <c r="A221" s="185"/>
      <c r="B221" s="185"/>
      <c r="C221" s="185"/>
      <c r="D221" s="185"/>
      <c r="E221" s="185"/>
      <c r="F221" s="185"/>
      <c r="G221" s="185"/>
      <c r="H221" s="185"/>
      <c r="I221" s="185"/>
      <c r="J221" s="185"/>
      <c r="K221" s="185"/>
      <c r="L221" s="185"/>
      <c r="M221" s="185"/>
      <c r="N221" s="185"/>
      <c r="O221" s="185"/>
      <c r="P221" s="185"/>
    </row>
    <row r="222" spans="1:16">
      <c r="A222" s="185"/>
      <c r="B222" s="185"/>
      <c r="C222" s="185"/>
      <c r="D222" s="185"/>
      <c r="E222" s="185"/>
      <c r="F222" s="185"/>
      <c r="G222" s="185"/>
      <c r="H222" s="185"/>
      <c r="I222" s="185"/>
      <c r="J222" s="185"/>
      <c r="K222" s="185"/>
      <c r="L222" s="185"/>
      <c r="M222" s="185"/>
      <c r="N222" s="185"/>
      <c r="O222" s="185"/>
      <c r="P222" s="185"/>
    </row>
    <row r="223" spans="1:16">
      <c r="A223" s="185"/>
      <c r="B223" s="185"/>
      <c r="C223" s="185"/>
      <c r="D223" s="185"/>
      <c r="E223" s="185"/>
      <c r="F223" s="185"/>
      <c r="G223" s="185"/>
      <c r="H223" s="185"/>
      <c r="I223" s="185"/>
      <c r="J223" s="185"/>
      <c r="K223" s="185"/>
      <c r="L223" s="185"/>
      <c r="M223" s="185"/>
      <c r="N223" s="185"/>
      <c r="O223" s="185"/>
      <c r="P223" s="185"/>
    </row>
    <row r="224" spans="1:16">
      <c r="A224" s="185"/>
      <c r="B224" s="185"/>
      <c r="C224" s="185"/>
      <c r="D224" s="185"/>
      <c r="E224" s="185"/>
      <c r="F224" s="185"/>
      <c r="G224" s="185"/>
      <c r="H224" s="185"/>
      <c r="I224" s="185"/>
      <c r="J224" s="185"/>
      <c r="K224" s="185"/>
      <c r="L224" s="185"/>
      <c r="M224" s="185"/>
      <c r="N224" s="185"/>
      <c r="O224" s="185"/>
      <c r="P224" s="185"/>
    </row>
    <row r="225" spans="1:16">
      <c r="A225" s="185"/>
      <c r="B225" s="185"/>
      <c r="C225" s="185"/>
      <c r="D225" s="185"/>
      <c r="E225" s="185"/>
      <c r="F225" s="185"/>
      <c r="G225" s="185"/>
      <c r="H225" s="185"/>
      <c r="I225" s="185"/>
      <c r="J225" s="185"/>
      <c r="K225" s="185"/>
      <c r="L225" s="185"/>
      <c r="M225" s="185"/>
      <c r="N225" s="185"/>
      <c r="O225" s="185"/>
      <c r="P225" s="185"/>
    </row>
    <row r="226" spans="1:16">
      <c r="A226" s="185"/>
      <c r="B226" s="185"/>
      <c r="C226" s="185"/>
      <c r="D226" s="185"/>
      <c r="E226" s="185"/>
      <c r="F226" s="185"/>
      <c r="G226" s="185"/>
      <c r="H226" s="185"/>
      <c r="I226" s="185"/>
      <c r="J226" s="185"/>
      <c r="K226" s="185"/>
      <c r="L226" s="185"/>
      <c r="M226" s="185"/>
      <c r="N226" s="185"/>
      <c r="O226" s="185"/>
      <c r="P226" s="185"/>
    </row>
    <row r="227" spans="1:16">
      <c r="A227" s="185"/>
      <c r="B227" s="185"/>
      <c r="C227" s="185"/>
      <c r="D227" s="185"/>
      <c r="E227" s="185"/>
      <c r="F227" s="185"/>
      <c r="G227" s="185"/>
      <c r="H227" s="185"/>
      <c r="I227" s="185"/>
      <c r="J227" s="185"/>
      <c r="K227" s="185"/>
      <c r="L227" s="185"/>
      <c r="M227" s="185"/>
      <c r="N227" s="185"/>
      <c r="O227" s="185"/>
      <c r="P227" s="185"/>
    </row>
  </sheetData>
  <mergeCells count="7">
    <mergeCell ref="K11:K12"/>
    <mergeCell ref="L11:L12"/>
    <mergeCell ref="D38:F38"/>
    <mergeCell ref="G11:G12"/>
    <mergeCell ref="H11:H12"/>
    <mergeCell ref="I11:I12"/>
    <mergeCell ref="J11:J12"/>
  </mergeCells>
  <dataValidations disablePrompts="1" count="2">
    <dataValidation type="whole" allowBlank="1" showInputMessage="1" showErrorMessage="1" errorTitle="Warning!" error="This cell must remain unchanged!" promptTitle="Warning!" prompt="Do not Change this cell!" sqref="CV2 CV65533">
      <formula1>1</formula1>
      <formula2>2</formula2>
    </dataValidation>
    <dataValidation allowBlank="1" showErrorMessage="1" prompt="Enter mm/dd/yyyy" sqref="L7"/>
  </dataValidations>
  <printOptions horizontalCentered="1"/>
  <pageMargins left="0" right="0" top="0.5" bottom="0" header="0" footer="0"/>
  <pageSetup scale="78" orientation="landscape"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pageSetUpPr fitToPage="1"/>
  </sheetPr>
  <dimension ref="A1:M174"/>
  <sheetViews>
    <sheetView showGridLines="0" zoomScaleNormal="100" workbookViewId="0">
      <selection activeCell="F37" sqref="F37"/>
    </sheetView>
  </sheetViews>
  <sheetFormatPr defaultRowHeight="12.75"/>
  <cols>
    <col min="1" max="1" width="9.140625" style="28"/>
    <col min="2" max="2" width="22.140625" style="28" customWidth="1"/>
    <col min="3" max="3" width="29.28515625" style="28" bestFit="1" customWidth="1"/>
    <col min="4" max="4" width="16.140625" style="28" bestFit="1" customWidth="1"/>
    <col min="5" max="5" width="5.7109375" style="28" customWidth="1"/>
    <col min="6" max="7" width="12" style="28" customWidth="1"/>
    <col min="8" max="8" width="14" style="28" customWidth="1"/>
    <col min="9" max="9" width="12" style="28" customWidth="1"/>
    <col min="10" max="10" width="13.140625" style="28" customWidth="1"/>
    <col min="11" max="16384" width="9.140625" style="28"/>
  </cols>
  <sheetData>
    <row r="1" spans="1:13">
      <c r="A1" s="460"/>
      <c r="B1" s="1135"/>
      <c r="C1" s="1942" t="str">
        <f>Utility</f>
        <v>MADISON WATER UTILITY</v>
      </c>
      <c r="D1" s="1943"/>
      <c r="E1" s="1943"/>
      <c r="F1" s="1943"/>
      <c r="G1" s="1943"/>
      <c r="H1" s="1943"/>
      <c r="I1" s="1943"/>
      <c r="J1" s="1943"/>
      <c r="K1" s="460"/>
      <c r="L1" s="307" t="s">
        <v>1110</v>
      </c>
      <c r="M1" s="460"/>
    </row>
    <row r="2" spans="1:13">
      <c r="A2" s="460"/>
      <c r="B2" s="1135"/>
      <c r="C2" s="1942" t="str">
        <f>CONCATENATE("Test Year ",TestYear)</f>
        <v>Test Year 2015</v>
      </c>
      <c r="D2" s="1943"/>
      <c r="E2" s="1943"/>
      <c r="F2" s="1943"/>
      <c r="G2" s="1943"/>
      <c r="H2" s="1943"/>
      <c r="I2" s="1943"/>
      <c r="J2" s="1943"/>
      <c r="K2" s="460"/>
      <c r="L2" s="460"/>
      <c r="M2" s="460"/>
    </row>
    <row r="3" spans="1:13">
      <c r="A3" s="460"/>
      <c r="B3" s="1135"/>
      <c r="C3" s="1942" t="s">
        <v>297</v>
      </c>
      <c r="D3" s="1943"/>
      <c r="E3" s="1943"/>
      <c r="F3" s="1943"/>
      <c r="G3" s="1943"/>
      <c r="H3" s="1943"/>
      <c r="I3" s="1943"/>
      <c r="J3" s="1943"/>
      <c r="K3" s="460"/>
      <c r="L3" s="460"/>
      <c r="M3" s="460"/>
    </row>
    <row r="4" spans="1:13">
      <c r="A4" s="460"/>
      <c r="B4" s="1135"/>
      <c r="C4" s="1135"/>
      <c r="D4" s="1135"/>
      <c r="E4" s="1135"/>
      <c r="F4" s="1135"/>
      <c r="G4" s="1135"/>
      <c r="H4" s="1135"/>
      <c r="I4" s="1135"/>
      <c r="J4" s="1135"/>
      <c r="K4" s="460"/>
      <c r="L4" s="460"/>
      <c r="M4" s="460"/>
    </row>
    <row r="5" spans="1:13">
      <c r="A5" s="460"/>
      <c r="B5" s="1135"/>
      <c r="C5" s="1944" t="s">
        <v>298</v>
      </c>
      <c r="D5" s="1944"/>
      <c r="E5" s="1944"/>
      <c r="F5" s="1944"/>
      <c r="G5" s="1944"/>
      <c r="H5" s="1944"/>
      <c r="I5" s="1944"/>
      <c r="J5" s="1944"/>
      <c r="K5" s="460"/>
      <c r="L5" s="460"/>
      <c r="M5" s="460"/>
    </row>
    <row r="6" spans="1:13">
      <c r="A6" s="460"/>
      <c r="B6" s="1407" t="str">
        <f>CONCATENATE("Historical data  ",IF(Measurement=2,"(Mgals)","(CCF)"))</f>
        <v>Historical data  (CCF)</v>
      </c>
      <c r="C6" s="1401"/>
      <c r="D6" s="1135"/>
      <c r="E6" s="1135"/>
      <c r="F6" s="1135"/>
      <c r="G6" s="1135"/>
      <c r="H6" s="1135"/>
      <c r="I6" s="1135"/>
      <c r="J6" s="1135"/>
      <c r="K6" s="460"/>
      <c r="L6" s="460"/>
      <c r="M6" s="460"/>
    </row>
    <row r="7" spans="1:13" ht="13.5" thickBot="1">
      <c r="A7" s="460"/>
      <c r="B7" s="476"/>
      <c r="C7" s="476"/>
      <c r="D7" s="475"/>
      <c r="E7" s="475"/>
      <c r="F7" s="475"/>
      <c r="G7" s="475"/>
      <c r="H7" s="475"/>
      <c r="I7" s="475"/>
      <c r="J7" s="475"/>
      <c r="K7" s="460"/>
      <c r="L7" s="460"/>
      <c r="M7" s="460"/>
    </row>
    <row r="8" spans="1:13" ht="51.75" thickTop="1">
      <c r="A8" s="460"/>
      <c r="B8" s="1422" t="s">
        <v>284</v>
      </c>
      <c r="C8" s="1423" t="s">
        <v>299</v>
      </c>
      <c r="D8" s="1423"/>
      <c r="E8" s="1423"/>
      <c r="F8" s="1424" t="str">
        <f>Data!A226</f>
        <v>Fitchburg Utility District No 1</v>
      </c>
      <c r="G8" s="1424" t="str">
        <f>Data!A227</f>
        <v>Village of Maple Bluff</v>
      </c>
      <c r="H8" s="1424" t="str">
        <f>Data!A228</f>
        <v>Village of Shorewood Hills</v>
      </c>
      <c r="I8" s="1424" t="str">
        <f>Data!A229</f>
        <v>Waunona Sanitary District No. 2</v>
      </c>
      <c r="J8" s="1424">
        <f>Data!A230</f>
        <v>0</v>
      </c>
      <c r="K8" s="1423" t="s">
        <v>253</v>
      </c>
      <c r="L8" s="1764"/>
      <c r="M8" s="460"/>
    </row>
    <row r="9" spans="1:13">
      <c r="A9" s="460"/>
      <c r="B9" s="1425"/>
      <c r="C9" s="1408"/>
      <c r="D9" s="1408"/>
      <c r="E9" s="1409"/>
      <c r="F9" s="1409"/>
      <c r="G9" s="1409"/>
      <c r="H9" s="1409"/>
      <c r="I9" s="1409"/>
      <c r="J9" s="1409"/>
      <c r="K9" s="1409"/>
      <c r="L9" s="1426"/>
      <c r="M9" s="460"/>
    </row>
    <row r="10" spans="1:13">
      <c r="A10" s="460"/>
      <c r="B10" s="1427">
        <f>Data!B225</f>
        <v>2009</v>
      </c>
      <c r="C10" s="1410"/>
      <c r="D10" s="1410"/>
      <c r="E10" s="1412"/>
      <c r="F10" s="1411">
        <f>IF(Measurement=2, Data!B226, Data!B226/0.748)</f>
        <v>2541.4438502673797</v>
      </c>
      <c r="G10" s="1411">
        <f>IF(Measurement=2, Data!B227, Data!B227/0.748)</f>
        <v>94490.641711229953</v>
      </c>
      <c r="H10" s="1411">
        <f>IF(Measurement=2, Data!B228, Data!B228/0.748)</f>
        <v>78903.743315508022</v>
      </c>
      <c r="I10" s="1411">
        <f>IF(Measurement=2, Data!B229, Data!B229/0.748)</f>
        <v>73614.973262032086</v>
      </c>
      <c r="J10" s="1411">
        <f>IF(Measurement=2, Data!B230, Data!B230/0.748)</f>
        <v>0</v>
      </c>
      <c r="K10" s="1411">
        <f>SUM(F10:J10)</f>
        <v>249550.80213903743</v>
      </c>
      <c r="L10" s="1765"/>
      <c r="M10" s="460"/>
    </row>
    <row r="11" spans="1:13">
      <c r="A11" s="460"/>
      <c r="B11" s="1427">
        <f>Data!C225</f>
        <v>2010</v>
      </c>
      <c r="C11" s="1410"/>
      <c r="D11" s="1410"/>
      <c r="E11" s="1412"/>
      <c r="F11" s="1411">
        <f>IF(Measurement=2, Data!C226, Data!C226/0.748)</f>
        <v>3672.4598930481284</v>
      </c>
      <c r="G11" s="1411">
        <f>IF(Measurement=2, Data!C227, Data!C227/0.748)</f>
        <v>125545.45454545454</v>
      </c>
      <c r="H11" s="1411">
        <f>IF(Measurement=2, Data!C228, Data!C228/0.748)</f>
        <v>65445.187165775402</v>
      </c>
      <c r="I11" s="1413">
        <f>IF(Measurement=2, Data!C229, Data!C229/0.748)</f>
        <v>52903.743315508022</v>
      </c>
      <c r="J11" s="1411">
        <f>IF(Measurement=2, Data!C230, Data!C230/0.748)</f>
        <v>0</v>
      </c>
      <c r="K11" s="1411">
        <f t="shared" ref="K11:K19" si="0">SUM(F11:J11)</f>
        <v>247566.84491978609</v>
      </c>
      <c r="L11" s="1765"/>
      <c r="M11" s="460"/>
    </row>
    <row r="12" spans="1:13">
      <c r="A12" s="460"/>
      <c r="B12" s="1427">
        <f>Data!D225</f>
        <v>2011</v>
      </c>
      <c r="C12" s="1410"/>
      <c r="D12" s="1410"/>
      <c r="E12" s="1412"/>
      <c r="F12" s="1411">
        <f>IF(Measurement=2, Data!D226, Data!D226/0.748)</f>
        <v>3667.1122994652405</v>
      </c>
      <c r="G12" s="1411">
        <f>IF(Measurement=2, Data!D227, Data!D227/0.748)</f>
        <v>131042.78074866311</v>
      </c>
      <c r="H12" s="1411">
        <f>IF(Measurement=2, Data!D228, Data!D228/0.748)</f>
        <v>59621.657754010695</v>
      </c>
      <c r="I12" s="1413">
        <f>IF(Measurement=2, Data!D229, Data!D229/0.748)</f>
        <v>44995.989304812836</v>
      </c>
      <c r="J12" s="1411">
        <f>IF(Measurement=2, Data!D230, Data!D230/0.748)</f>
        <v>0</v>
      </c>
      <c r="K12" s="1411">
        <f t="shared" si="0"/>
        <v>239327.54010695187</v>
      </c>
      <c r="L12" s="1765"/>
      <c r="M12" s="460"/>
    </row>
    <row r="13" spans="1:13">
      <c r="A13" s="460"/>
      <c r="B13" s="1427">
        <f>Data!E225</f>
        <v>2012</v>
      </c>
      <c r="C13" s="1410"/>
      <c r="D13" s="1410"/>
      <c r="E13" s="1412"/>
      <c r="F13" s="1411">
        <f>IF(Measurement=2, Data!E226, Data!E226/0.748)</f>
        <v>2868.9839572192514</v>
      </c>
      <c r="G13" s="1411">
        <f>IF(Measurement=2, Data!E227, Data!E227/0.748)</f>
        <v>87040.106951871654</v>
      </c>
      <c r="H13" s="1411">
        <f>IF(Measurement=2, Data!E228, Data!E228/0.748)</f>
        <v>134478.60962566844</v>
      </c>
      <c r="I13" s="1413">
        <f>IF(Measurement=2, Data!E229, Data!E229/0.748)</f>
        <v>44505.34759358289</v>
      </c>
      <c r="J13" s="1411">
        <f>IF(Measurement=2, Data!E230, Data!E230/0.748)</f>
        <v>0</v>
      </c>
      <c r="K13" s="1411">
        <f t="shared" si="0"/>
        <v>268893.04812834226</v>
      </c>
      <c r="L13" s="1765"/>
      <c r="M13" s="460"/>
    </row>
    <row r="14" spans="1:13">
      <c r="A14" s="460"/>
      <c r="B14" s="1427">
        <f>Data!F225</f>
        <v>2013</v>
      </c>
      <c r="C14" s="1410"/>
      <c r="D14" s="1410"/>
      <c r="E14" s="1412"/>
      <c r="F14" s="1411">
        <f>IF(Measurement=2, Data!F226, Data!F226/0.748)</f>
        <v>2402.4064171122996</v>
      </c>
      <c r="G14" s="1411">
        <f>IF(Measurement=2, Data!F227, Data!F227/0.748)</f>
        <v>63482.620320855618</v>
      </c>
      <c r="H14" s="1411">
        <f>IF(Measurement=2, Data!F228, Data!F228/0.748)</f>
        <v>91632.352941176476</v>
      </c>
      <c r="I14" s="1411">
        <f>IF(Measurement=2, Data!F229, Data!F229/0.748)</f>
        <v>55402.406417112303</v>
      </c>
      <c r="J14" s="1411">
        <f>IF(Measurement=2, Data!F230, Data!F230/0.748)</f>
        <v>0</v>
      </c>
      <c r="K14" s="1411">
        <f t="shared" si="0"/>
        <v>212919.78609625669</v>
      </c>
      <c r="L14" s="1765"/>
      <c r="M14" s="460"/>
    </row>
    <row r="15" spans="1:13">
      <c r="A15" s="460"/>
      <c r="B15" s="1428"/>
      <c r="C15" s="1410"/>
      <c r="D15" s="1410"/>
      <c r="E15" s="1414"/>
      <c r="F15" s="1414"/>
      <c r="G15" s="1414"/>
      <c r="H15" s="1414"/>
      <c r="I15" s="1414"/>
      <c r="J15" s="1414"/>
      <c r="K15" s="1411"/>
      <c r="L15" s="1766"/>
      <c r="M15" s="460"/>
    </row>
    <row r="16" spans="1:13">
      <c r="A16" s="460"/>
      <c r="B16" s="1429" t="s">
        <v>300</v>
      </c>
      <c r="C16" s="1410"/>
      <c r="D16" s="1410"/>
      <c r="E16" s="1412"/>
      <c r="F16" s="1411">
        <f>AVERAGE(F10:F14)</f>
        <v>3030.4812834224599</v>
      </c>
      <c r="G16" s="1411">
        <f>AVERAGE(G10:G14)</f>
        <v>100320.32085561499</v>
      </c>
      <c r="H16" s="1411">
        <f>AVERAGE(H10:H14)</f>
        <v>86016.31016042782</v>
      </c>
      <c r="I16" s="1411">
        <f>AVERAGE(I10:I14)</f>
        <v>54284.491978609629</v>
      </c>
      <c r="J16" s="1411">
        <f>AVERAGE(J10:J14)</f>
        <v>0</v>
      </c>
      <c r="K16" s="1411">
        <f t="shared" si="0"/>
        <v>243651.60427807493</v>
      </c>
      <c r="L16" s="1765"/>
      <c r="M16" s="460"/>
    </row>
    <row r="17" spans="1:13">
      <c r="A17" s="460"/>
      <c r="B17" s="1429" t="s">
        <v>301</v>
      </c>
      <c r="C17" s="1410"/>
      <c r="D17" s="1410"/>
      <c r="E17" s="1412"/>
      <c r="F17" s="1411">
        <f>AVERAGE(F11:F14)</f>
        <v>3152.7406417112297</v>
      </c>
      <c r="G17" s="1411">
        <f>AVERAGE(G11:G14)</f>
        <v>101777.74064171124</v>
      </c>
      <c r="H17" s="1411">
        <f>AVERAGE(H11:H14)</f>
        <v>87794.451871657744</v>
      </c>
      <c r="I17" s="1411">
        <f>AVERAGE(I11:I14)</f>
        <v>49451.871657754011</v>
      </c>
      <c r="J17" s="1411">
        <f>AVERAGE(J11:J14)</f>
        <v>0</v>
      </c>
      <c r="K17" s="1411">
        <f t="shared" si="0"/>
        <v>242176.80481283422</v>
      </c>
      <c r="L17" s="1765"/>
      <c r="M17" s="460"/>
    </row>
    <row r="18" spans="1:13">
      <c r="A18" s="460"/>
      <c r="B18" s="1429" t="s">
        <v>302</v>
      </c>
      <c r="C18" s="1410"/>
      <c r="D18" s="1410"/>
      <c r="E18" s="1412"/>
      <c r="F18" s="1411">
        <f>AVERAGE(F12:F14)</f>
        <v>2979.5008912655971</v>
      </c>
      <c r="G18" s="1411">
        <f>AVERAGE(G12:G14)</f>
        <v>93855.169340463472</v>
      </c>
      <c r="H18" s="1411">
        <f>AVERAGE(H12:H14)</f>
        <v>95244.206773618542</v>
      </c>
      <c r="I18" s="1411">
        <f>AVERAGE(I12:I14)</f>
        <v>48301.24777183601</v>
      </c>
      <c r="J18" s="1411">
        <f>AVERAGE(J12:J14)</f>
        <v>0</v>
      </c>
      <c r="K18" s="1411">
        <f t="shared" si="0"/>
        <v>240380.12477718361</v>
      </c>
      <c r="L18" s="1765"/>
      <c r="M18" s="460"/>
    </row>
    <row r="19" spans="1:13">
      <c r="A19" s="460"/>
      <c r="B19" s="1429" t="s">
        <v>303</v>
      </c>
      <c r="C19" s="1410"/>
      <c r="D19" s="1410"/>
      <c r="E19" s="1412"/>
      <c r="F19" s="1769">
        <f>AVERAGE(F13:F14)</f>
        <v>2635.6951871657757</v>
      </c>
      <c r="G19" s="1769">
        <f>AVERAGE(G13:G14)</f>
        <v>75261.363636363632</v>
      </c>
      <c r="H19" s="1769">
        <f>AVERAGE(H13:H14)</f>
        <v>113055.48128342246</v>
      </c>
      <c r="I19" s="1769">
        <f>AVERAGE(I13:I14)</f>
        <v>49953.877005347596</v>
      </c>
      <c r="J19" s="1769">
        <f>AVERAGE(J13:J14)</f>
        <v>0</v>
      </c>
      <c r="K19" s="1769">
        <f t="shared" si="0"/>
        <v>240906.41711229947</v>
      </c>
      <c r="L19" s="1765"/>
      <c r="M19" s="460"/>
    </row>
    <row r="20" spans="1:13">
      <c r="A20" s="460"/>
      <c r="B20" s="1428"/>
      <c r="C20" s="1410"/>
      <c r="D20" s="1410"/>
      <c r="E20" s="1414"/>
      <c r="F20" s="1414"/>
      <c r="G20" s="1414"/>
      <c r="H20" s="1414"/>
      <c r="I20" s="1414"/>
      <c r="J20" s="1414"/>
      <c r="K20" s="1414"/>
      <c r="L20" s="1766"/>
      <c r="M20" s="460"/>
    </row>
    <row r="21" spans="1:13">
      <c r="A21" s="460"/>
      <c r="B21" s="1430" t="s">
        <v>1041</v>
      </c>
      <c r="C21" s="1410"/>
      <c r="D21" s="1410"/>
      <c r="E21" s="1416"/>
      <c r="F21" s="1402">
        <v>2343.2032085561495</v>
      </c>
      <c r="G21" s="1402">
        <v>64431.810160427805</v>
      </c>
      <c r="H21" s="1402">
        <v>93680.176470588238</v>
      </c>
      <c r="I21" s="1402">
        <v>48587.685828877009</v>
      </c>
      <c r="J21" s="1402">
        <f>J16</f>
        <v>0</v>
      </c>
      <c r="K21" s="1411">
        <f>SUM(F21:J21)</f>
        <v>209042.87566844918</v>
      </c>
      <c r="L21" s="1766"/>
      <c r="M21" s="460"/>
    </row>
    <row r="22" spans="1:13">
      <c r="A22" s="460"/>
      <c r="B22" s="1431"/>
      <c r="C22" s="1410"/>
      <c r="D22" s="1410"/>
      <c r="E22" s="1409"/>
      <c r="F22" s="1409"/>
      <c r="G22" s="1409"/>
      <c r="H22" s="1409"/>
      <c r="I22" s="1409"/>
      <c r="J22" s="1409"/>
      <c r="K22" s="1409"/>
      <c r="L22" s="1426"/>
      <c r="M22" s="460"/>
    </row>
    <row r="23" spans="1:13" ht="54.75" customHeight="1">
      <c r="A23" s="460"/>
      <c r="B23" s="1434" t="s">
        <v>308</v>
      </c>
      <c r="C23" s="1417" t="s">
        <v>299</v>
      </c>
      <c r="D23" s="1417"/>
      <c r="E23" s="1419"/>
      <c r="F23" s="1420" t="str">
        <f t="shared" ref="F23:K23" si="1">F8</f>
        <v>Fitchburg Utility District No 1</v>
      </c>
      <c r="G23" s="1420" t="str">
        <f t="shared" si="1"/>
        <v>Village of Maple Bluff</v>
      </c>
      <c r="H23" s="1420" t="str">
        <f t="shared" si="1"/>
        <v>Village of Shorewood Hills</v>
      </c>
      <c r="I23" s="1420" t="str">
        <f t="shared" si="1"/>
        <v>Waunona Sanitary District No. 2</v>
      </c>
      <c r="J23" s="1420">
        <f t="shared" si="1"/>
        <v>0</v>
      </c>
      <c r="K23" s="1418" t="str">
        <f t="shared" si="1"/>
        <v>Total</v>
      </c>
      <c r="L23" s="1767"/>
      <c r="M23" s="460"/>
    </row>
    <row r="24" spans="1:13">
      <c r="A24" s="460"/>
      <c r="B24" s="1428" t="s">
        <v>305</v>
      </c>
      <c r="C24" s="1410" t="s">
        <v>1040</v>
      </c>
      <c r="D24" s="1410"/>
      <c r="E24" s="1409"/>
      <c r="F24" s="1406">
        <v>12</v>
      </c>
      <c r="G24" s="1403">
        <v>12</v>
      </c>
      <c r="H24" s="1403">
        <v>12</v>
      </c>
      <c r="I24" s="1403">
        <v>12</v>
      </c>
      <c r="J24" s="1403">
        <v>0</v>
      </c>
      <c r="K24" s="1409"/>
      <c r="L24" s="1426"/>
      <c r="M24" s="460"/>
    </row>
    <row r="25" spans="1:13">
      <c r="A25" s="460"/>
      <c r="B25" s="1428"/>
      <c r="C25" s="1410" t="s">
        <v>307</v>
      </c>
      <c r="D25" s="1410"/>
      <c r="E25" s="1409"/>
      <c r="F25" s="1404">
        <v>77.5</v>
      </c>
      <c r="G25" s="1404">
        <v>310</v>
      </c>
      <c r="H25" s="1404">
        <v>352.5</v>
      </c>
      <c r="I25" s="1404">
        <v>155</v>
      </c>
      <c r="J25" s="1404">
        <v>0</v>
      </c>
      <c r="K25" s="1409"/>
      <c r="L25" s="1426"/>
      <c r="M25" s="460"/>
    </row>
    <row r="26" spans="1:13">
      <c r="A26" s="460"/>
      <c r="B26" s="1428"/>
      <c r="C26" s="1410"/>
      <c r="D26" s="1410"/>
      <c r="E26" s="1412"/>
      <c r="F26" s="1411">
        <f>F24*F25</f>
        <v>930</v>
      </c>
      <c r="G26" s="1411">
        <f>G24*G25</f>
        <v>3720</v>
      </c>
      <c r="H26" s="1411">
        <f>H24*H25</f>
        <v>4230</v>
      </c>
      <c r="I26" s="1411">
        <f>I24*I25</f>
        <v>1860</v>
      </c>
      <c r="J26" s="1411">
        <f>J24*J25</f>
        <v>0</v>
      </c>
      <c r="K26" s="1411">
        <f>SUM(F26:J26)</f>
        <v>10740</v>
      </c>
      <c r="L26" s="1765"/>
      <c r="M26" s="460"/>
    </row>
    <row r="27" spans="1:13">
      <c r="A27" s="460"/>
      <c r="B27" s="1428"/>
      <c r="C27" s="1410"/>
      <c r="D27" s="1410"/>
      <c r="E27" s="1415"/>
      <c r="F27" s="1415"/>
      <c r="G27" s="1415"/>
      <c r="H27" s="1415"/>
      <c r="I27" s="1415"/>
      <c r="J27" s="1415"/>
      <c r="K27" s="1415"/>
      <c r="L27" s="1435"/>
      <c r="M27" s="460"/>
    </row>
    <row r="28" spans="1:13">
      <c r="A28" s="460"/>
      <c r="B28" s="1428" t="s">
        <v>309</v>
      </c>
      <c r="C28" s="1410"/>
      <c r="D28" s="1410"/>
      <c r="E28" s="1415"/>
      <c r="F28" s="1415"/>
      <c r="G28" s="1415"/>
      <c r="H28" s="1415"/>
      <c r="I28" s="1415"/>
      <c r="J28" s="1415"/>
      <c r="K28" s="1415"/>
      <c r="L28" s="1435"/>
      <c r="M28" s="460"/>
    </row>
    <row r="29" spans="1:13">
      <c r="A29" s="460"/>
      <c r="B29" s="1428"/>
      <c r="C29" s="1439" t="str">
        <f>CONCATENATE(IF(Measurement=2,"Mgals","CCFs"), " (derived from above)")</f>
        <v>CCFs (derived from above)</v>
      </c>
      <c r="D29" s="1439"/>
      <c r="E29" s="1415"/>
      <c r="F29" s="1411">
        <f>F21</f>
        <v>2343.2032085561495</v>
      </c>
      <c r="G29" s="1411">
        <f>G21</f>
        <v>64431.810160427805</v>
      </c>
      <c r="H29" s="1411">
        <f>H21</f>
        <v>93680.176470588238</v>
      </c>
      <c r="I29" s="1411">
        <f>I21</f>
        <v>48587.685828877009</v>
      </c>
      <c r="J29" s="1411">
        <f>J21</f>
        <v>0</v>
      </c>
      <c r="K29" s="1415"/>
      <c r="L29" s="1435"/>
      <c r="M29" s="460"/>
    </row>
    <row r="30" spans="1:13">
      <c r="A30" s="460"/>
      <c r="B30" s="1428"/>
      <c r="C30" s="1410" t="s">
        <v>307</v>
      </c>
      <c r="D30" s="1410"/>
      <c r="E30" s="1415"/>
      <c r="F30" s="1405">
        <v>1.64</v>
      </c>
      <c r="G30" s="1405">
        <v>1.55</v>
      </c>
      <c r="H30" s="1405">
        <v>1.55</v>
      </c>
      <c r="I30" s="1405">
        <v>1.55</v>
      </c>
      <c r="J30" s="1405">
        <v>0</v>
      </c>
      <c r="K30" s="1415"/>
      <c r="L30" s="1435"/>
      <c r="M30" s="460"/>
    </row>
    <row r="31" spans="1:13" ht="13.5" thickBot="1">
      <c r="A31" s="460"/>
      <c r="B31" s="1428"/>
      <c r="C31" s="1410"/>
      <c r="D31" s="1410"/>
      <c r="E31" s="1412"/>
      <c r="F31" s="1421">
        <f>F29*F30</f>
        <v>3842.8532620320852</v>
      </c>
      <c r="G31" s="1421">
        <f>G29*G30</f>
        <v>99869.305748663101</v>
      </c>
      <c r="H31" s="1421">
        <f>H29*H30</f>
        <v>145204.27352941176</v>
      </c>
      <c r="I31" s="1421">
        <f>I29*I30</f>
        <v>75310.91303475936</v>
      </c>
      <c r="J31" s="1421">
        <f>J29*J30</f>
        <v>0</v>
      </c>
      <c r="K31" s="1768">
        <f>SUM(F31:J31)</f>
        <v>324227.34557486628</v>
      </c>
      <c r="L31" s="1765"/>
      <c r="M31" s="460"/>
    </row>
    <row r="32" spans="1:13" ht="13.5" thickTop="1">
      <c r="A32" s="460"/>
      <c r="B32" s="1428"/>
      <c r="C32" s="1410"/>
      <c r="D32" s="1410"/>
      <c r="E32" s="1412"/>
      <c r="F32" s="1411">
        <f t="shared" ref="F32:K32" si="2">F26+F31</f>
        <v>4772.8532620320857</v>
      </c>
      <c r="G32" s="1411">
        <f t="shared" si="2"/>
        <v>103589.3057486631</v>
      </c>
      <c r="H32" s="1411">
        <f t="shared" si="2"/>
        <v>149434.27352941176</v>
      </c>
      <c r="I32" s="1411">
        <f t="shared" si="2"/>
        <v>77170.91303475936</v>
      </c>
      <c r="J32" s="1411">
        <f t="shared" si="2"/>
        <v>0</v>
      </c>
      <c r="K32" s="1411">
        <f t="shared" si="2"/>
        <v>334967.34557486628</v>
      </c>
      <c r="L32" s="1765"/>
      <c r="M32" s="460"/>
    </row>
    <row r="33" spans="1:13">
      <c r="A33" s="460"/>
      <c r="B33" s="1428"/>
      <c r="C33" s="1410"/>
      <c r="D33" s="1410"/>
      <c r="E33" s="1412"/>
      <c r="F33" s="1411"/>
      <c r="G33" s="1411"/>
      <c r="H33" s="1411"/>
      <c r="I33" s="1411"/>
      <c r="J33" s="1411"/>
      <c r="K33" s="1411"/>
      <c r="L33" s="1765"/>
      <c r="M33" s="460"/>
    </row>
    <row r="34" spans="1:13" ht="51">
      <c r="A34" s="460"/>
      <c r="B34" s="1432" t="s">
        <v>304</v>
      </c>
      <c r="C34" s="1417" t="s">
        <v>299</v>
      </c>
      <c r="D34" s="1417"/>
      <c r="E34" s="1419"/>
      <c r="F34" s="1420" t="str">
        <f t="shared" ref="F34:K34" si="3">F8</f>
        <v>Fitchburg Utility District No 1</v>
      </c>
      <c r="G34" s="1420" t="str">
        <f t="shared" si="3"/>
        <v>Village of Maple Bluff</v>
      </c>
      <c r="H34" s="1420" t="str">
        <f t="shared" si="3"/>
        <v>Village of Shorewood Hills</v>
      </c>
      <c r="I34" s="1420" t="str">
        <f t="shared" si="3"/>
        <v>Waunona Sanitary District No. 2</v>
      </c>
      <c r="J34" s="1420">
        <f t="shared" si="3"/>
        <v>0</v>
      </c>
      <c r="K34" s="1418" t="str">
        <f t="shared" si="3"/>
        <v>Total</v>
      </c>
      <c r="L34" s="1767"/>
      <c r="M34" s="460"/>
    </row>
    <row r="35" spans="1:13">
      <c r="A35" s="460"/>
      <c r="B35" s="1428" t="s">
        <v>305</v>
      </c>
      <c r="C35" s="1410" t="s">
        <v>306</v>
      </c>
      <c r="D35" s="1410"/>
      <c r="E35" s="1409"/>
      <c r="F35" s="1406">
        <v>12</v>
      </c>
      <c r="G35" s="1406">
        <v>12</v>
      </c>
      <c r="H35" s="1403">
        <v>12</v>
      </c>
      <c r="I35" s="1403">
        <v>12</v>
      </c>
      <c r="J35" s="1403">
        <v>0</v>
      </c>
      <c r="K35" s="1409"/>
      <c r="L35" s="1426"/>
      <c r="M35" s="460"/>
    </row>
    <row r="36" spans="1:13">
      <c r="A36" s="460"/>
      <c r="B36" s="1428"/>
      <c r="C36" s="1410" t="s">
        <v>307</v>
      </c>
      <c r="D36" s="1410"/>
      <c r="E36" s="1409"/>
      <c r="F36" s="1404">
        <v>95</v>
      </c>
      <c r="G36" s="1404">
        <v>2200</v>
      </c>
      <c r="H36" s="1404">
        <v>2200</v>
      </c>
      <c r="I36" s="1404">
        <v>1250</v>
      </c>
      <c r="J36" s="1404">
        <v>0</v>
      </c>
      <c r="K36" s="1409"/>
      <c r="L36" s="1426"/>
      <c r="M36" s="460"/>
    </row>
    <row r="37" spans="1:13">
      <c r="A37" s="460"/>
      <c r="B37" s="1428"/>
      <c r="C37" s="1410"/>
      <c r="D37" s="1410"/>
      <c r="E37" s="1412"/>
      <c r="F37" s="1411">
        <f>F36*F35</f>
        <v>1140</v>
      </c>
      <c r="G37" s="1411">
        <f>G36*G35</f>
        <v>26400</v>
      </c>
      <c r="H37" s="1411">
        <f>H36*H35</f>
        <v>26400</v>
      </c>
      <c r="I37" s="1411">
        <f>I36*I35</f>
        <v>15000</v>
      </c>
      <c r="J37" s="1411">
        <f>J36*J35</f>
        <v>0</v>
      </c>
      <c r="K37" s="1411">
        <f>SUM(F37:J37)</f>
        <v>68940</v>
      </c>
      <c r="L37" s="1765"/>
      <c r="M37" s="460"/>
    </row>
    <row r="38" spans="1:13">
      <c r="A38" s="460"/>
      <c r="B38" s="1428"/>
      <c r="C38" s="1410"/>
      <c r="D38" s="1410"/>
      <c r="E38" s="1409"/>
      <c r="F38" s="1409"/>
      <c r="G38" s="1409"/>
      <c r="H38" s="1409"/>
      <c r="I38" s="1409"/>
      <c r="J38" s="1409"/>
      <c r="K38" s="1409"/>
      <c r="L38" s="1426"/>
      <c r="M38" s="460"/>
    </row>
    <row r="39" spans="1:13">
      <c r="A39" s="460"/>
      <c r="B39" s="1433"/>
      <c r="C39" s="1410"/>
      <c r="D39" s="1410"/>
      <c r="E39" s="1409"/>
      <c r="F39" s="1409"/>
      <c r="G39" s="1409"/>
      <c r="H39" s="1409"/>
      <c r="I39" s="1409"/>
      <c r="J39" s="1409"/>
      <c r="K39" s="1409"/>
      <c r="L39" s="1426"/>
      <c r="M39" s="460"/>
    </row>
    <row r="40" spans="1:13" ht="13.5" thickBot="1">
      <c r="A40" s="460"/>
      <c r="B40" s="1436"/>
      <c r="C40" s="1437"/>
      <c r="D40" s="1437"/>
      <c r="E40" s="1437"/>
      <c r="F40" s="1437"/>
      <c r="G40" s="1437"/>
      <c r="H40" s="1437"/>
      <c r="I40" s="1437"/>
      <c r="J40" s="1437"/>
      <c r="K40" s="1437"/>
      <c r="L40" s="1438"/>
      <c r="M40" s="460"/>
    </row>
    <row r="41" spans="1:13" ht="13.5" thickTop="1">
      <c r="A41" s="460"/>
      <c r="B41" s="460"/>
      <c r="C41" s="460"/>
      <c r="D41" s="460"/>
      <c r="E41" s="460"/>
      <c r="F41" s="460"/>
      <c r="G41" s="460"/>
      <c r="H41" s="460"/>
      <c r="I41" s="460"/>
      <c r="J41" s="460"/>
      <c r="K41" s="460"/>
      <c r="L41" s="460"/>
      <c r="M41" s="460"/>
    </row>
    <row r="42" spans="1:13">
      <c r="A42" s="460"/>
      <c r="B42" s="460"/>
      <c r="C42" s="460"/>
      <c r="D42" s="460"/>
      <c r="E42" s="460"/>
      <c r="F42" s="460"/>
      <c r="G42" s="460"/>
      <c r="H42" s="460"/>
      <c r="I42" s="460"/>
      <c r="J42" s="460"/>
      <c r="K42" s="460"/>
      <c r="L42" s="460"/>
      <c r="M42" s="460"/>
    </row>
    <row r="43" spans="1:13">
      <c r="A43" s="460"/>
      <c r="B43" s="460"/>
      <c r="C43" s="460"/>
      <c r="D43" s="460"/>
      <c r="E43" s="460"/>
      <c r="F43" s="460"/>
      <c r="G43" s="460"/>
      <c r="H43" s="460"/>
      <c r="I43" s="460"/>
      <c r="J43" s="460"/>
      <c r="K43" s="460"/>
      <c r="L43" s="460"/>
      <c r="M43" s="460"/>
    </row>
    <row r="44" spans="1:13">
      <c r="A44" s="460"/>
      <c r="B44" s="460"/>
      <c r="C44" s="460"/>
      <c r="D44" s="460"/>
      <c r="E44" s="460"/>
      <c r="F44" s="460"/>
      <c r="G44" s="460"/>
      <c r="H44" s="460"/>
      <c r="I44" s="460"/>
      <c r="J44" s="460"/>
      <c r="K44" s="460"/>
      <c r="L44" s="460"/>
      <c r="M44" s="460"/>
    </row>
    <row r="45" spans="1:13">
      <c r="A45" s="460"/>
      <c r="B45" s="460"/>
      <c r="C45" s="460"/>
      <c r="D45" s="460"/>
      <c r="E45" s="460"/>
      <c r="F45" s="460"/>
      <c r="G45" s="460"/>
      <c r="H45" s="460"/>
      <c r="I45" s="460"/>
      <c r="J45" s="460"/>
      <c r="K45" s="460"/>
      <c r="L45" s="460"/>
      <c r="M45" s="460"/>
    </row>
    <row r="46" spans="1:13">
      <c r="A46" s="460"/>
      <c r="B46" s="460"/>
      <c r="C46" s="460"/>
      <c r="D46" s="460"/>
      <c r="E46" s="460"/>
      <c r="F46" s="460"/>
      <c r="G46" s="460"/>
      <c r="H46" s="460"/>
      <c r="I46" s="460"/>
      <c r="J46" s="460"/>
      <c r="K46" s="460"/>
      <c r="L46" s="460"/>
      <c r="M46" s="460"/>
    </row>
    <row r="47" spans="1:13">
      <c r="A47" s="460"/>
      <c r="B47" s="460"/>
      <c r="C47" s="460"/>
      <c r="D47" s="460"/>
      <c r="E47" s="460"/>
      <c r="F47" s="460"/>
      <c r="G47" s="460"/>
      <c r="H47" s="460"/>
      <c r="I47" s="460"/>
      <c r="J47" s="460"/>
      <c r="K47" s="460"/>
      <c r="L47" s="460"/>
      <c r="M47" s="460"/>
    </row>
    <row r="48" spans="1:13">
      <c r="A48" s="460"/>
      <c r="B48" s="460"/>
      <c r="C48" s="460"/>
      <c r="D48" s="460"/>
      <c r="E48" s="460"/>
      <c r="F48" s="460"/>
      <c r="G48" s="460"/>
      <c r="H48" s="460"/>
      <c r="I48" s="460"/>
      <c r="J48" s="460"/>
      <c r="K48" s="460"/>
      <c r="L48" s="460"/>
      <c r="M48" s="460"/>
    </row>
    <row r="49" spans="1:13">
      <c r="A49" s="460"/>
      <c r="B49" s="460"/>
      <c r="C49" s="460"/>
      <c r="D49" s="460"/>
      <c r="E49" s="460"/>
      <c r="F49" s="460"/>
      <c r="G49" s="460"/>
      <c r="H49" s="460"/>
      <c r="I49" s="460"/>
      <c r="J49" s="460"/>
      <c r="K49" s="460"/>
      <c r="L49" s="460"/>
      <c r="M49" s="460"/>
    </row>
    <row r="50" spans="1:13">
      <c r="A50" s="460"/>
      <c r="B50" s="460"/>
      <c r="C50" s="460"/>
      <c r="D50" s="460"/>
      <c r="E50" s="460"/>
      <c r="F50" s="460"/>
      <c r="G50" s="460"/>
      <c r="H50" s="460"/>
      <c r="I50" s="460"/>
      <c r="J50" s="460"/>
      <c r="K50" s="460"/>
      <c r="L50" s="460"/>
      <c r="M50" s="460"/>
    </row>
    <row r="51" spans="1:13">
      <c r="A51" s="460"/>
      <c r="B51" s="460"/>
      <c r="C51" s="460"/>
      <c r="D51" s="460"/>
      <c r="E51" s="460"/>
      <c r="F51" s="460"/>
      <c r="G51" s="460"/>
      <c r="H51" s="460"/>
      <c r="I51" s="460"/>
      <c r="J51" s="460"/>
      <c r="K51" s="460"/>
      <c r="L51" s="460"/>
      <c r="M51" s="460"/>
    </row>
    <row r="52" spans="1:13">
      <c r="A52" s="460"/>
      <c r="B52" s="460"/>
      <c r="C52" s="460"/>
      <c r="D52" s="460"/>
      <c r="E52" s="460"/>
      <c r="F52" s="460"/>
      <c r="G52" s="460"/>
      <c r="H52" s="460"/>
      <c r="I52" s="460"/>
      <c r="J52" s="460"/>
      <c r="K52" s="460"/>
      <c r="L52" s="460"/>
      <c r="M52" s="460"/>
    </row>
    <row r="53" spans="1:13">
      <c r="A53" s="460"/>
      <c r="B53" s="460"/>
      <c r="C53" s="460"/>
      <c r="D53" s="460"/>
      <c r="E53" s="460"/>
      <c r="F53" s="460"/>
      <c r="G53" s="460"/>
      <c r="H53" s="460"/>
      <c r="I53" s="460"/>
      <c r="J53" s="460"/>
      <c r="K53" s="460"/>
      <c r="L53" s="460"/>
      <c r="M53" s="460"/>
    </row>
    <row r="54" spans="1:13">
      <c r="A54" s="460"/>
      <c r="B54" s="460"/>
      <c r="C54" s="460"/>
      <c r="D54" s="460"/>
      <c r="E54" s="460"/>
      <c r="F54" s="460"/>
      <c r="G54" s="460"/>
      <c r="H54" s="460"/>
      <c r="I54" s="460"/>
      <c r="J54" s="460"/>
      <c r="K54" s="460"/>
      <c r="L54" s="460"/>
      <c r="M54" s="460"/>
    </row>
    <row r="55" spans="1:13">
      <c r="A55" s="460"/>
      <c r="B55" s="460"/>
      <c r="C55" s="460"/>
      <c r="D55" s="460"/>
      <c r="E55" s="460"/>
      <c r="F55" s="460"/>
      <c r="G55" s="460"/>
      <c r="H55" s="460"/>
      <c r="I55" s="460"/>
      <c r="J55" s="460"/>
      <c r="K55" s="460"/>
      <c r="L55" s="460"/>
      <c r="M55" s="460"/>
    </row>
    <row r="56" spans="1:13">
      <c r="A56" s="460"/>
      <c r="B56" s="460"/>
      <c r="C56" s="460"/>
      <c r="D56" s="460"/>
      <c r="E56" s="460"/>
      <c r="F56" s="460"/>
      <c r="G56" s="460"/>
      <c r="H56" s="460"/>
      <c r="I56" s="460"/>
      <c r="J56" s="460"/>
      <c r="K56" s="460"/>
      <c r="L56" s="460"/>
      <c r="M56" s="460"/>
    </row>
    <row r="57" spans="1:13">
      <c r="A57" s="460"/>
      <c r="B57" s="460"/>
      <c r="C57" s="460"/>
      <c r="D57" s="460"/>
      <c r="E57" s="460"/>
      <c r="F57" s="460"/>
      <c r="G57" s="460"/>
      <c r="H57" s="460"/>
      <c r="I57" s="460"/>
      <c r="J57" s="460"/>
      <c r="K57" s="460"/>
      <c r="L57" s="460"/>
      <c r="M57" s="460"/>
    </row>
    <row r="58" spans="1:13">
      <c r="A58" s="460"/>
      <c r="B58" s="460"/>
      <c r="C58" s="460"/>
      <c r="D58" s="460"/>
      <c r="E58" s="460"/>
      <c r="F58" s="460"/>
      <c r="G58" s="460"/>
      <c r="H58" s="460"/>
      <c r="I58" s="460"/>
      <c r="J58" s="460"/>
      <c r="K58" s="460"/>
      <c r="L58" s="460"/>
      <c r="M58" s="460"/>
    </row>
    <row r="59" spans="1:13">
      <c r="A59" s="460"/>
      <c r="B59" s="460"/>
      <c r="C59" s="460"/>
      <c r="D59" s="460"/>
      <c r="E59" s="460"/>
      <c r="F59" s="460"/>
      <c r="G59" s="460"/>
      <c r="H59" s="460"/>
      <c r="I59" s="460"/>
      <c r="J59" s="460"/>
      <c r="K59" s="460"/>
      <c r="L59" s="460"/>
      <c r="M59" s="460"/>
    </row>
    <row r="60" spans="1:13">
      <c r="A60" s="460"/>
      <c r="B60" s="460"/>
      <c r="C60" s="460"/>
      <c r="D60" s="460"/>
      <c r="E60" s="460"/>
      <c r="F60" s="460"/>
      <c r="G60" s="460"/>
      <c r="H60" s="460"/>
      <c r="I60" s="460"/>
      <c r="J60" s="460"/>
      <c r="K60" s="460"/>
      <c r="L60" s="460"/>
      <c r="M60" s="460"/>
    </row>
    <row r="61" spans="1:13">
      <c r="A61" s="460"/>
      <c r="B61" s="460"/>
      <c r="C61" s="460"/>
      <c r="D61" s="460"/>
      <c r="E61" s="460"/>
      <c r="F61" s="460"/>
      <c r="G61" s="460"/>
      <c r="H61" s="460"/>
      <c r="I61" s="460"/>
      <c r="J61" s="460"/>
      <c r="K61" s="460"/>
      <c r="L61" s="460"/>
      <c r="M61" s="460"/>
    </row>
    <row r="62" spans="1:13">
      <c r="A62" s="460"/>
      <c r="B62" s="460"/>
      <c r="C62" s="460"/>
      <c r="D62" s="460"/>
      <c r="E62" s="460"/>
      <c r="F62" s="460"/>
      <c r="G62" s="460"/>
      <c r="H62" s="460"/>
      <c r="I62" s="460"/>
      <c r="J62" s="460"/>
      <c r="K62" s="460"/>
      <c r="L62" s="460"/>
      <c r="M62" s="460"/>
    </row>
    <row r="63" spans="1:13">
      <c r="A63" s="460"/>
      <c r="B63" s="460"/>
      <c r="C63" s="460"/>
      <c r="D63" s="460"/>
      <c r="E63" s="460"/>
      <c r="F63" s="460"/>
      <c r="G63" s="460"/>
      <c r="H63" s="460"/>
      <c r="I63" s="460"/>
      <c r="J63" s="460"/>
      <c r="K63" s="460"/>
      <c r="L63" s="460"/>
      <c r="M63" s="460"/>
    </row>
    <row r="64" spans="1:13">
      <c r="A64" s="460"/>
      <c r="B64" s="460"/>
      <c r="C64" s="460"/>
      <c r="D64" s="460"/>
      <c r="E64" s="460"/>
      <c r="F64" s="460"/>
      <c r="G64" s="460"/>
      <c r="H64" s="460"/>
      <c r="I64" s="460"/>
      <c r="J64" s="460"/>
      <c r="K64" s="460"/>
      <c r="L64" s="460"/>
      <c r="M64" s="460"/>
    </row>
    <row r="65" spans="1:13">
      <c r="A65" s="460"/>
      <c r="B65" s="460"/>
      <c r="C65" s="460"/>
      <c r="D65" s="460"/>
      <c r="E65" s="460"/>
      <c r="F65" s="460"/>
      <c r="G65" s="460"/>
      <c r="H65" s="460"/>
      <c r="I65" s="460"/>
      <c r="J65" s="460"/>
      <c r="K65" s="460"/>
      <c r="L65" s="460"/>
      <c r="M65" s="460"/>
    </row>
    <row r="66" spans="1:13">
      <c r="A66" s="460"/>
      <c r="B66" s="460"/>
      <c r="C66" s="460"/>
      <c r="D66" s="460"/>
      <c r="E66" s="460"/>
      <c r="F66" s="460"/>
      <c r="G66" s="460"/>
      <c r="H66" s="460"/>
      <c r="I66" s="460"/>
      <c r="J66" s="460"/>
      <c r="K66" s="460"/>
      <c r="L66" s="460"/>
      <c r="M66" s="460"/>
    </row>
    <row r="67" spans="1:13">
      <c r="A67" s="460"/>
      <c r="B67" s="460"/>
      <c r="C67" s="460"/>
      <c r="D67" s="460"/>
      <c r="E67" s="460"/>
      <c r="F67" s="460"/>
      <c r="G67" s="460"/>
      <c r="H67" s="460"/>
      <c r="I67" s="460"/>
      <c r="J67" s="460"/>
      <c r="K67" s="460"/>
      <c r="L67" s="460"/>
      <c r="M67" s="460"/>
    </row>
    <row r="68" spans="1:13">
      <c r="A68" s="460"/>
      <c r="B68" s="460"/>
      <c r="C68" s="460"/>
      <c r="D68" s="460"/>
      <c r="E68" s="460"/>
      <c r="F68" s="460"/>
      <c r="G68" s="460"/>
      <c r="H68" s="460"/>
      <c r="I68" s="460"/>
      <c r="J68" s="460"/>
      <c r="K68" s="460"/>
      <c r="L68" s="460"/>
      <c r="M68" s="460"/>
    </row>
    <row r="69" spans="1:13">
      <c r="A69" s="460"/>
      <c r="B69" s="460"/>
      <c r="C69" s="460"/>
      <c r="D69" s="460"/>
      <c r="E69" s="460"/>
      <c r="F69" s="460"/>
      <c r="G69" s="460"/>
      <c r="H69" s="460"/>
      <c r="I69" s="460"/>
      <c r="J69" s="460"/>
      <c r="K69" s="460"/>
      <c r="L69" s="460"/>
      <c r="M69" s="460"/>
    </row>
    <row r="70" spans="1:13">
      <c r="A70" s="460"/>
      <c r="B70" s="460"/>
      <c r="C70" s="460"/>
      <c r="D70" s="460"/>
      <c r="E70" s="460"/>
      <c r="F70" s="460"/>
      <c r="G70" s="460"/>
      <c r="H70" s="460"/>
      <c r="I70" s="460"/>
      <c r="J70" s="460"/>
      <c r="K70" s="460"/>
      <c r="L70" s="460"/>
      <c r="M70" s="460"/>
    </row>
    <row r="71" spans="1:13">
      <c r="A71" s="460"/>
      <c r="B71" s="460"/>
      <c r="C71" s="460"/>
      <c r="D71" s="460"/>
      <c r="E71" s="460"/>
      <c r="F71" s="460"/>
      <c r="G71" s="460"/>
      <c r="H71" s="460"/>
      <c r="I71" s="460"/>
      <c r="J71" s="460"/>
      <c r="K71" s="460"/>
      <c r="L71" s="460"/>
      <c r="M71" s="460"/>
    </row>
    <row r="72" spans="1:13">
      <c r="A72" s="460"/>
      <c r="B72" s="460"/>
      <c r="C72" s="460"/>
      <c r="D72" s="460"/>
      <c r="E72" s="460"/>
      <c r="F72" s="460"/>
      <c r="G72" s="460"/>
      <c r="H72" s="460"/>
      <c r="I72" s="460"/>
      <c r="J72" s="460"/>
      <c r="K72" s="460"/>
      <c r="L72" s="460"/>
      <c r="M72" s="460"/>
    </row>
    <row r="73" spans="1:13">
      <c r="A73" s="460"/>
      <c r="B73" s="460"/>
      <c r="C73" s="460"/>
      <c r="D73" s="460"/>
      <c r="E73" s="460"/>
      <c r="F73" s="460"/>
      <c r="G73" s="460"/>
      <c r="H73" s="460"/>
      <c r="I73" s="460"/>
      <c r="J73" s="460"/>
      <c r="K73" s="460"/>
      <c r="L73" s="460"/>
      <c r="M73" s="460"/>
    </row>
    <row r="74" spans="1:13">
      <c r="A74" s="460"/>
      <c r="B74" s="460"/>
      <c r="C74" s="460"/>
      <c r="D74" s="460"/>
      <c r="E74" s="460"/>
      <c r="F74" s="460"/>
      <c r="G74" s="460"/>
      <c r="H74" s="460"/>
      <c r="I74" s="460"/>
      <c r="J74" s="460"/>
      <c r="K74" s="460"/>
      <c r="L74" s="460"/>
      <c r="M74" s="460"/>
    </row>
    <row r="75" spans="1:13">
      <c r="A75" s="460"/>
      <c r="B75" s="460"/>
      <c r="C75" s="460"/>
      <c r="D75" s="460"/>
      <c r="E75" s="460"/>
      <c r="F75" s="460"/>
      <c r="G75" s="460"/>
      <c r="H75" s="460"/>
      <c r="I75" s="460"/>
      <c r="J75" s="460"/>
      <c r="K75" s="460"/>
      <c r="L75" s="460"/>
      <c r="M75" s="460"/>
    </row>
    <row r="76" spans="1:13">
      <c r="A76" s="460"/>
      <c r="B76" s="460"/>
      <c r="C76" s="460"/>
      <c r="D76" s="460"/>
      <c r="E76" s="460"/>
      <c r="F76" s="460"/>
      <c r="G76" s="460"/>
      <c r="H76" s="460"/>
      <c r="I76" s="460"/>
      <c r="J76" s="460"/>
      <c r="K76" s="460"/>
      <c r="L76" s="460"/>
      <c r="M76" s="460"/>
    </row>
    <row r="77" spans="1:13">
      <c r="A77" s="460"/>
      <c r="B77" s="460"/>
      <c r="C77" s="460"/>
      <c r="D77" s="460"/>
      <c r="E77" s="460"/>
      <c r="F77" s="460"/>
      <c r="G77" s="460"/>
      <c r="H77" s="460"/>
      <c r="I77" s="460"/>
      <c r="J77" s="460"/>
      <c r="K77" s="460"/>
      <c r="L77" s="460"/>
      <c r="M77" s="460"/>
    </row>
    <row r="78" spans="1:13">
      <c r="A78" s="460"/>
      <c r="B78" s="460"/>
      <c r="C78" s="460"/>
      <c r="D78" s="460"/>
      <c r="E78" s="460"/>
      <c r="F78" s="460"/>
      <c r="G78" s="460"/>
      <c r="H78" s="460"/>
      <c r="I78" s="460"/>
      <c r="J78" s="460"/>
      <c r="K78" s="460"/>
      <c r="L78" s="460"/>
      <c r="M78" s="460"/>
    </row>
    <row r="79" spans="1:13">
      <c r="A79" s="460"/>
      <c r="B79" s="460"/>
      <c r="C79" s="460"/>
      <c r="D79" s="460"/>
      <c r="E79" s="460"/>
      <c r="F79" s="460"/>
      <c r="G79" s="460"/>
      <c r="H79" s="460"/>
      <c r="I79" s="460"/>
      <c r="J79" s="460"/>
      <c r="K79" s="460"/>
      <c r="L79" s="460"/>
      <c r="M79" s="460"/>
    </row>
    <row r="80" spans="1:13">
      <c r="A80" s="460"/>
      <c r="B80" s="460"/>
      <c r="C80" s="460"/>
      <c r="D80" s="460"/>
      <c r="E80" s="460"/>
      <c r="F80" s="460"/>
      <c r="G80" s="460"/>
      <c r="H80" s="460"/>
      <c r="I80" s="460"/>
      <c r="J80" s="460"/>
      <c r="K80" s="460"/>
      <c r="L80" s="460"/>
      <c r="M80" s="460"/>
    </row>
    <row r="81" spans="1:13">
      <c r="A81" s="460"/>
      <c r="B81" s="460"/>
      <c r="C81" s="460"/>
      <c r="D81" s="460"/>
      <c r="E81" s="460"/>
      <c r="F81" s="460"/>
      <c r="G81" s="460"/>
      <c r="H81" s="460"/>
      <c r="I81" s="460"/>
      <c r="J81" s="460"/>
      <c r="K81" s="460"/>
      <c r="L81" s="460"/>
      <c r="M81" s="460"/>
    </row>
    <row r="82" spans="1:13">
      <c r="A82" s="460"/>
      <c r="B82" s="460"/>
      <c r="C82" s="460"/>
      <c r="D82" s="460"/>
      <c r="E82" s="460"/>
      <c r="F82" s="460"/>
      <c r="G82" s="460"/>
      <c r="H82" s="460"/>
      <c r="I82" s="460"/>
      <c r="J82" s="460"/>
      <c r="K82" s="460"/>
      <c r="L82" s="460"/>
      <c r="M82" s="460"/>
    </row>
    <row r="83" spans="1:13">
      <c r="A83" s="460"/>
      <c r="B83" s="460"/>
      <c r="C83" s="460"/>
      <c r="D83" s="460"/>
      <c r="E83" s="460"/>
      <c r="F83" s="460"/>
      <c r="G83" s="460"/>
      <c r="H83" s="460"/>
      <c r="I83" s="460"/>
      <c r="J83" s="460"/>
      <c r="K83" s="460"/>
      <c r="L83" s="460"/>
      <c r="M83" s="460"/>
    </row>
    <row r="84" spans="1:13">
      <c r="A84" s="460"/>
      <c r="B84" s="460"/>
      <c r="C84" s="460"/>
      <c r="D84" s="460"/>
      <c r="E84" s="460"/>
      <c r="F84" s="460"/>
      <c r="G84" s="460"/>
      <c r="H84" s="460"/>
      <c r="I84" s="460"/>
      <c r="J84" s="460"/>
      <c r="K84" s="460"/>
      <c r="L84" s="460"/>
      <c r="M84" s="460"/>
    </row>
    <row r="85" spans="1:13">
      <c r="A85" s="460"/>
      <c r="B85" s="460"/>
      <c r="C85" s="460"/>
      <c r="D85" s="460"/>
      <c r="E85" s="460"/>
      <c r="F85" s="460"/>
      <c r="G85" s="460"/>
      <c r="H85" s="460"/>
      <c r="I85" s="460"/>
      <c r="J85" s="460"/>
      <c r="K85" s="460"/>
      <c r="L85" s="460"/>
      <c r="M85" s="460"/>
    </row>
    <row r="86" spans="1:13">
      <c r="A86" s="460"/>
      <c r="B86" s="460"/>
      <c r="C86" s="460"/>
      <c r="D86" s="460"/>
      <c r="E86" s="460"/>
      <c r="F86" s="460"/>
      <c r="G86" s="460"/>
      <c r="H86" s="460"/>
      <c r="I86" s="460"/>
      <c r="J86" s="460"/>
      <c r="K86" s="460"/>
      <c r="L86" s="460"/>
      <c r="M86" s="460"/>
    </row>
    <row r="87" spans="1:13">
      <c r="A87" s="460"/>
      <c r="B87" s="460"/>
      <c r="C87" s="460"/>
      <c r="D87" s="460"/>
      <c r="E87" s="460"/>
      <c r="F87" s="460"/>
      <c r="G87" s="460"/>
      <c r="H87" s="460"/>
      <c r="I87" s="460"/>
      <c r="J87" s="460"/>
      <c r="K87" s="460"/>
      <c r="L87" s="460"/>
      <c r="M87" s="460"/>
    </row>
    <row r="88" spans="1:13">
      <c r="A88" s="460"/>
      <c r="B88" s="460"/>
      <c r="C88" s="460"/>
      <c r="D88" s="460"/>
      <c r="E88" s="460"/>
      <c r="F88" s="460"/>
      <c r="G88" s="460"/>
      <c r="H88" s="460"/>
      <c r="I88" s="460"/>
      <c r="J88" s="460"/>
      <c r="K88" s="460"/>
      <c r="L88" s="460"/>
      <c r="M88" s="460"/>
    </row>
    <row r="89" spans="1:13">
      <c r="A89" s="460"/>
      <c r="B89" s="460"/>
      <c r="C89" s="460"/>
      <c r="D89" s="460"/>
      <c r="E89" s="460"/>
      <c r="F89" s="460"/>
      <c r="G89" s="460"/>
      <c r="H89" s="460"/>
      <c r="I89" s="460"/>
      <c r="J89" s="460"/>
      <c r="K89" s="460"/>
      <c r="L89" s="460"/>
      <c r="M89" s="460"/>
    </row>
    <row r="90" spans="1:13">
      <c r="A90" s="460"/>
      <c r="B90" s="460"/>
      <c r="C90" s="460"/>
      <c r="D90" s="460"/>
      <c r="E90" s="460"/>
      <c r="F90" s="460"/>
      <c r="G90" s="460"/>
      <c r="H90" s="460"/>
      <c r="I90" s="460"/>
      <c r="J90" s="460"/>
      <c r="K90" s="460"/>
      <c r="L90" s="460"/>
      <c r="M90" s="460"/>
    </row>
    <row r="91" spans="1:13">
      <c r="A91" s="460"/>
      <c r="B91" s="460"/>
      <c r="C91" s="460"/>
      <c r="D91" s="460"/>
      <c r="E91" s="460"/>
      <c r="F91" s="460"/>
      <c r="G91" s="460"/>
      <c r="H91" s="460"/>
      <c r="I91" s="460"/>
      <c r="J91" s="460"/>
      <c r="K91" s="460"/>
      <c r="L91" s="460"/>
      <c r="M91" s="460"/>
    </row>
    <row r="92" spans="1:13">
      <c r="A92" s="460"/>
      <c r="B92" s="460"/>
      <c r="C92" s="460"/>
      <c r="D92" s="460"/>
      <c r="E92" s="460"/>
      <c r="F92" s="460"/>
      <c r="G92" s="460"/>
      <c r="H92" s="460"/>
      <c r="I92" s="460"/>
      <c r="J92" s="460"/>
      <c r="K92" s="460"/>
      <c r="L92" s="460"/>
      <c r="M92" s="460"/>
    </row>
    <row r="93" spans="1:13">
      <c r="A93" s="460"/>
      <c r="B93" s="460"/>
      <c r="C93" s="460"/>
      <c r="D93" s="460"/>
      <c r="E93" s="460"/>
      <c r="F93" s="460"/>
      <c r="G93" s="460"/>
      <c r="H93" s="460"/>
      <c r="I93" s="460"/>
      <c r="J93" s="460"/>
      <c r="K93" s="460"/>
      <c r="L93" s="460"/>
      <c r="M93" s="460"/>
    </row>
    <row r="94" spans="1:13">
      <c r="A94" s="460"/>
      <c r="B94" s="460"/>
      <c r="C94" s="460"/>
      <c r="D94" s="460"/>
      <c r="E94" s="460"/>
      <c r="F94" s="460"/>
      <c r="G94" s="460"/>
      <c r="H94" s="460"/>
      <c r="I94" s="460"/>
      <c r="J94" s="460"/>
      <c r="K94" s="460"/>
      <c r="L94" s="460"/>
      <c r="M94" s="460"/>
    </row>
    <row r="95" spans="1:13">
      <c r="A95" s="460"/>
      <c r="B95" s="460"/>
      <c r="C95" s="460"/>
      <c r="D95" s="460"/>
      <c r="E95" s="460"/>
      <c r="F95" s="460"/>
      <c r="G95" s="460"/>
      <c r="H95" s="460"/>
      <c r="I95" s="460"/>
      <c r="J95" s="460"/>
      <c r="K95" s="460"/>
      <c r="L95" s="460"/>
      <c r="M95" s="460"/>
    </row>
    <row r="96" spans="1:13">
      <c r="A96" s="460"/>
      <c r="B96" s="460"/>
      <c r="C96" s="460"/>
      <c r="D96" s="460"/>
      <c r="E96" s="460"/>
      <c r="F96" s="460"/>
      <c r="G96" s="460"/>
      <c r="H96" s="460"/>
      <c r="I96" s="460"/>
      <c r="J96" s="460"/>
      <c r="K96" s="460"/>
      <c r="L96" s="460"/>
      <c r="M96" s="460"/>
    </row>
    <row r="97" spans="1:13">
      <c r="A97" s="460"/>
      <c r="B97" s="460"/>
      <c r="C97" s="460"/>
      <c r="D97" s="460"/>
      <c r="E97" s="460"/>
      <c r="F97" s="460"/>
      <c r="G97" s="460"/>
      <c r="H97" s="460"/>
      <c r="I97" s="460"/>
      <c r="J97" s="460"/>
      <c r="K97" s="460"/>
      <c r="L97" s="460"/>
      <c r="M97" s="460"/>
    </row>
    <row r="98" spans="1:13">
      <c r="A98" s="460"/>
      <c r="B98" s="460"/>
      <c r="C98" s="460"/>
      <c r="D98" s="460"/>
      <c r="E98" s="460"/>
      <c r="F98" s="460"/>
      <c r="G98" s="460"/>
      <c r="H98" s="460"/>
      <c r="I98" s="460"/>
      <c r="J98" s="460"/>
      <c r="K98" s="460"/>
      <c r="L98" s="460"/>
      <c r="M98" s="460"/>
    </row>
    <row r="99" spans="1:13">
      <c r="A99" s="460"/>
      <c r="B99" s="460"/>
      <c r="C99" s="460"/>
      <c r="D99" s="460"/>
      <c r="E99" s="460"/>
      <c r="F99" s="460"/>
      <c r="G99" s="460"/>
      <c r="H99" s="460"/>
      <c r="I99" s="460"/>
      <c r="J99" s="460"/>
      <c r="K99" s="460"/>
      <c r="L99" s="460"/>
      <c r="M99" s="460"/>
    </row>
    <row r="100" spans="1:13">
      <c r="A100" s="460"/>
      <c r="B100" s="460"/>
      <c r="C100" s="460"/>
      <c r="D100" s="460"/>
      <c r="E100" s="460"/>
      <c r="F100" s="460"/>
      <c r="G100" s="460"/>
      <c r="H100" s="460"/>
      <c r="I100" s="460"/>
      <c r="J100" s="460"/>
      <c r="K100" s="460"/>
      <c r="L100" s="460"/>
      <c r="M100" s="460"/>
    </row>
    <row r="101" spans="1:13">
      <c r="A101" s="460"/>
      <c r="B101" s="460"/>
      <c r="C101" s="460"/>
      <c r="D101" s="460"/>
      <c r="E101" s="460"/>
      <c r="F101" s="460"/>
      <c r="G101" s="460"/>
      <c r="H101" s="460"/>
      <c r="I101" s="460"/>
      <c r="J101" s="460"/>
      <c r="K101" s="460"/>
      <c r="L101" s="460"/>
      <c r="M101" s="460"/>
    </row>
    <row r="102" spans="1:13">
      <c r="A102" s="460"/>
      <c r="B102" s="460"/>
      <c r="C102" s="460"/>
      <c r="D102" s="460"/>
      <c r="E102" s="460"/>
      <c r="F102" s="460"/>
      <c r="G102" s="460"/>
      <c r="H102" s="460"/>
      <c r="I102" s="460"/>
      <c r="J102" s="460"/>
      <c r="K102" s="460"/>
      <c r="L102" s="460"/>
      <c r="M102" s="460"/>
    </row>
    <row r="103" spans="1:13">
      <c r="A103" s="460"/>
      <c r="B103" s="460"/>
      <c r="C103" s="460"/>
      <c r="D103" s="460"/>
      <c r="E103" s="460"/>
      <c r="F103" s="460"/>
      <c r="G103" s="460"/>
      <c r="H103" s="460"/>
      <c r="I103" s="460"/>
      <c r="J103" s="460"/>
      <c r="K103" s="460"/>
      <c r="L103" s="460"/>
      <c r="M103" s="460"/>
    </row>
    <row r="104" spans="1:13">
      <c r="A104" s="460"/>
      <c r="B104" s="460"/>
      <c r="C104" s="460"/>
      <c r="D104" s="460"/>
      <c r="E104" s="460"/>
      <c r="F104" s="460"/>
      <c r="G104" s="460"/>
      <c r="H104" s="460"/>
      <c r="I104" s="460"/>
      <c r="J104" s="460"/>
      <c r="K104" s="460"/>
      <c r="L104" s="460"/>
      <c r="M104" s="460"/>
    </row>
    <row r="105" spans="1:13">
      <c r="A105" s="460"/>
      <c r="B105" s="460"/>
      <c r="C105" s="460"/>
      <c r="D105" s="460"/>
      <c r="E105" s="460"/>
      <c r="F105" s="460"/>
      <c r="G105" s="460"/>
      <c r="H105" s="460"/>
      <c r="I105" s="460"/>
      <c r="J105" s="460"/>
      <c r="K105" s="460"/>
      <c r="L105" s="460"/>
      <c r="M105" s="460"/>
    </row>
    <row r="106" spans="1:13">
      <c r="A106" s="460"/>
      <c r="B106" s="460"/>
      <c r="C106" s="460"/>
      <c r="D106" s="460"/>
      <c r="E106" s="460"/>
      <c r="F106" s="460"/>
      <c r="G106" s="460"/>
      <c r="H106" s="460"/>
      <c r="I106" s="460"/>
      <c r="J106" s="460"/>
      <c r="K106" s="460"/>
      <c r="L106" s="460"/>
      <c r="M106" s="460"/>
    </row>
    <row r="107" spans="1:13">
      <c r="A107" s="460"/>
      <c r="B107" s="460"/>
      <c r="C107" s="460"/>
      <c r="D107" s="460"/>
      <c r="E107" s="460"/>
      <c r="F107" s="460"/>
      <c r="G107" s="460"/>
      <c r="H107" s="460"/>
      <c r="I107" s="460"/>
      <c r="J107" s="460"/>
      <c r="K107" s="460"/>
      <c r="L107" s="460"/>
      <c r="M107" s="460"/>
    </row>
    <row r="108" spans="1:13">
      <c r="A108" s="460"/>
      <c r="B108" s="460"/>
      <c r="C108" s="460"/>
      <c r="D108" s="460"/>
      <c r="E108" s="460"/>
      <c r="F108" s="460"/>
      <c r="G108" s="460"/>
      <c r="H108" s="460"/>
      <c r="I108" s="460"/>
      <c r="J108" s="460"/>
      <c r="K108" s="460"/>
      <c r="L108" s="460"/>
      <c r="M108" s="460"/>
    </row>
    <row r="109" spans="1:13">
      <c r="A109" s="460"/>
      <c r="B109" s="460"/>
      <c r="C109" s="460"/>
      <c r="D109" s="460"/>
      <c r="E109" s="460"/>
      <c r="F109" s="460"/>
      <c r="G109" s="460"/>
      <c r="H109" s="460"/>
      <c r="I109" s="460"/>
      <c r="J109" s="460"/>
      <c r="K109" s="460"/>
      <c r="L109" s="460"/>
      <c r="M109" s="460"/>
    </row>
    <row r="110" spans="1:13">
      <c r="A110" s="460"/>
      <c r="B110" s="460"/>
      <c r="C110" s="460"/>
      <c r="D110" s="460"/>
      <c r="E110" s="460"/>
      <c r="F110" s="460"/>
      <c r="G110" s="460"/>
      <c r="H110" s="460"/>
      <c r="I110" s="460"/>
      <c r="J110" s="460"/>
      <c r="K110" s="460"/>
      <c r="L110" s="460"/>
      <c r="M110" s="460"/>
    </row>
    <row r="111" spans="1:13">
      <c r="A111" s="460"/>
      <c r="B111" s="460"/>
      <c r="C111" s="460"/>
      <c r="D111" s="460"/>
      <c r="E111" s="460"/>
      <c r="F111" s="460"/>
      <c r="G111" s="460"/>
      <c r="H111" s="460"/>
      <c r="I111" s="460"/>
      <c r="J111" s="460"/>
      <c r="K111" s="460"/>
      <c r="L111" s="460"/>
      <c r="M111" s="460"/>
    </row>
    <row r="112" spans="1:13">
      <c r="A112" s="460"/>
      <c r="B112" s="460"/>
      <c r="C112" s="460"/>
      <c r="D112" s="460"/>
      <c r="E112" s="460"/>
      <c r="F112" s="460"/>
      <c r="G112" s="460"/>
      <c r="H112" s="460"/>
      <c r="I112" s="460"/>
      <c r="J112" s="460"/>
      <c r="K112" s="460"/>
      <c r="L112" s="460"/>
      <c r="M112" s="460"/>
    </row>
    <row r="113" spans="1:13">
      <c r="A113" s="460"/>
      <c r="B113" s="460"/>
      <c r="C113" s="460"/>
      <c r="D113" s="460"/>
      <c r="E113" s="460"/>
      <c r="F113" s="460"/>
      <c r="G113" s="460"/>
      <c r="H113" s="460"/>
      <c r="I113" s="460"/>
      <c r="J113" s="460"/>
      <c r="K113" s="460"/>
      <c r="L113" s="460"/>
      <c r="M113" s="460"/>
    </row>
    <row r="114" spans="1:13">
      <c r="A114" s="460"/>
      <c r="B114" s="460"/>
      <c r="C114" s="460"/>
      <c r="D114" s="460"/>
      <c r="E114" s="460"/>
      <c r="F114" s="460"/>
      <c r="G114" s="460"/>
      <c r="H114" s="460"/>
      <c r="I114" s="460"/>
      <c r="J114" s="460"/>
      <c r="K114" s="460"/>
      <c r="L114" s="460"/>
      <c r="M114" s="460"/>
    </row>
    <row r="115" spans="1:13">
      <c r="A115" s="460"/>
      <c r="B115" s="460"/>
      <c r="C115" s="460"/>
      <c r="D115" s="460"/>
      <c r="E115" s="460"/>
      <c r="F115" s="460"/>
      <c r="G115" s="460"/>
      <c r="H115" s="460"/>
      <c r="I115" s="460"/>
      <c r="J115" s="460"/>
      <c r="K115" s="460"/>
      <c r="L115" s="460"/>
      <c r="M115" s="460"/>
    </row>
    <row r="116" spans="1:13">
      <c r="A116" s="460"/>
      <c r="B116" s="460"/>
      <c r="C116" s="460"/>
      <c r="D116" s="460"/>
      <c r="E116" s="460"/>
      <c r="F116" s="460"/>
      <c r="G116" s="460"/>
      <c r="H116" s="460"/>
      <c r="I116" s="460"/>
      <c r="J116" s="460"/>
      <c r="K116" s="460"/>
      <c r="L116" s="460"/>
      <c r="M116" s="460"/>
    </row>
    <row r="117" spans="1:13">
      <c r="A117" s="460"/>
      <c r="B117" s="460"/>
      <c r="C117" s="460"/>
      <c r="D117" s="460"/>
      <c r="E117" s="460"/>
      <c r="F117" s="460"/>
      <c r="G117" s="460"/>
      <c r="H117" s="460"/>
      <c r="I117" s="460"/>
      <c r="J117" s="460"/>
      <c r="K117" s="460"/>
      <c r="L117" s="460"/>
      <c r="M117" s="460"/>
    </row>
    <row r="118" spans="1:13">
      <c r="A118" s="460"/>
      <c r="B118" s="460"/>
      <c r="C118" s="460"/>
      <c r="D118" s="460"/>
      <c r="E118" s="460"/>
      <c r="F118" s="460"/>
      <c r="G118" s="460"/>
      <c r="H118" s="460"/>
      <c r="I118" s="460"/>
      <c r="J118" s="460"/>
      <c r="K118" s="460"/>
      <c r="L118" s="460"/>
      <c r="M118" s="460"/>
    </row>
    <row r="119" spans="1:13">
      <c r="A119" s="460"/>
      <c r="B119" s="460"/>
      <c r="C119" s="460"/>
      <c r="D119" s="460"/>
      <c r="E119" s="460"/>
      <c r="F119" s="460"/>
      <c r="G119" s="460"/>
      <c r="H119" s="460"/>
      <c r="I119" s="460"/>
      <c r="J119" s="460"/>
      <c r="K119" s="460"/>
      <c r="L119" s="460"/>
      <c r="M119" s="460"/>
    </row>
    <row r="120" spans="1:13">
      <c r="A120" s="460"/>
      <c r="B120" s="460"/>
      <c r="C120" s="460"/>
      <c r="D120" s="460"/>
      <c r="E120" s="460"/>
      <c r="F120" s="460"/>
      <c r="G120" s="460"/>
      <c r="H120" s="460"/>
      <c r="I120" s="460"/>
      <c r="J120" s="460"/>
      <c r="K120" s="460"/>
      <c r="L120" s="460"/>
      <c r="M120" s="460"/>
    </row>
    <row r="121" spans="1:13">
      <c r="A121" s="460"/>
      <c r="B121" s="460"/>
      <c r="C121" s="460"/>
      <c r="D121" s="460"/>
      <c r="E121" s="460"/>
      <c r="F121" s="460"/>
      <c r="G121" s="460"/>
      <c r="H121" s="460"/>
      <c r="I121" s="460"/>
      <c r="J121" s="460"/>
      <c r="K121" s="460"/>
      <c r="L121" s="460"/>
      <c r="M121" s="460"/>
    </row>
    <row r="122" spans="1:13">
      <c r="A122" s="460"/>
      <c r="B122" s="460"/>
      <c r="C122" s="460"/>
      <c r="D122" s="460"/>
      <c r="E122" s="460"/>
      <c r="F122" s="460"/>
      <c r="G122" s="460"/>
      <c r="H122" s="460"/>
      <c r="I122" s="460"/>
      <c r="J122" s="460"/>
      <c r="K122" s="460"/>
      <c r="L122" s="460"/>
      <c r="M122" s="460"/>
    </row>
    <row r="123" spans="1:13">
      <c r="A123" s="460"/>
      <c r="B123" s="460"/>
      <c r="C123" s="460"/>
      <c r="D123" s="460"/>
      <c r="E123" s="460"/>
      <c r="F123" s="460"/>
      <c r="G123" s="460"/>
      <c r="H123" s="460"/>
      <c r="I123" s="460"/>
      <c r="J123" s="460"/>
      <c r="K123" s="460"/>
      <c r="L123" s="460"/>
      <c r="M123" s="460"/>
    </row>
    <row r="124" spans="1:13">
      <c r="A124" s="460"/>
      <c r="B124" s="460"/>
      <c r="C124" s="460"/>
      <c r="D124" s="460"/>
      <c r="E124" s="460"/>
      <c r="F124" s="460"/>
      <c r="G124" s="460"/>
      <c r="H124" s="460"/>
      <c r="I124" s="460"/>
      <c r="J124" s="460"/>
      <c r="K124" s="460"/>
      <c r="L124" s="460"/>
      <c r="M124" s="460"/>
    </row>
    <row r="125" spans="1:13">
      <c r="A125" s="460"/>
      <c r="B125" s="460"/>
      <c r="C125" s="460"/>
      <c r="D125" s="460"/>
      <c r="E125" s="460"/>
      <c r="F125" s="460"/>
      <c r="G125" s="460"/>
      <c r="H125" s="460"/>
      <c r="I125" s="460"/>
      <c r="J125" s="460"/>
      <c r="K125" s="460"/>
      <c r="L125" s="460"/>
      <c r="M125" s="460"/>
    </row>
    <row r="126" spans="1:13">
      <c r="A126" s="460"/>
      <c r="B126" s="460"/>
      <c r="C126" s="460"/>
      <c r="D126" s="460"/>
      <c r="E126" s="460"/>
      <c r="F126" s="460"/>
      <c r="G126" s="460"/>
      <c r="H126" s="460"/>
      <c r="I126" s="460"/>
      <c r="J126" s="460"/>
      <c r="K126" s="460"/>
      <c r="L126" s="460"/>
      <c r="M126" s="460"/>
    </row>
    <row r="127" spans="1:13">
      <c r="A127" s="460"/>
      <c r="B127" s="460"/>
      <c r="C127" s="460"/>
      <c r="D127" s="460"/>
      <c r="E127" s="460"/>
      <c r="F127" s="460"/>
      <c r="G127" s="460"/>
      <c r="H127" s="460"/>
      <c r="I127" s="460"/>
      <c r="J127" s="460"/>
      <c r="K127" s="460"/>
      <c r="L127" s="460"/>
      <c r="M127" s="460"/>
    </row>
    <row r="128" spans="1:13">
      <c r="A128" s="460"/>
      <c r="B128" s="460"/>
      <c r="C128" s="460"/>
      <c r="D128" s="460"/>
      <c r="E128" s="460"/>
      <c r="F128" s="460"/>
      <c r="G128" s="460"/>
      <c r="H128" s="460"/>
      <c r="I128" s="460"/>
      <c r="J128" s="460"/>
      <c r="K128" s="460"/>
      <c r="L128" s="460"/>
      <c r="M128" s="460"/>
    </row>
    <row r="129" spans="1:13">
      <c r="A129" s="460"/>
      <c r="B129" s="460"/>
      <c r="C129" s="460"/>
      <c r="D129" s="460"/>
      <c r="E129" s="460"/>
      <c r="F129" s="460"/>
      <c r="G129" s="460"/>
      <c r="H129" s="460"/>
      <c r="I129" s="460"/>
      <c r="J129" s="460"/>
      <c r="K129" s="460"/>
      <c r="L129" s="460"/>
      <c r="M129" s="460"/>
    </row>
    <row r="130" spans="1:13">
      <c r="A130" s="460"/>
      <c r="B130" s="460"/>
      <c r="C130" s="460"/>
      <c r="D130" s="460"/>
      <c r="E130" s="460"/>
      <c r="F130" s="460"/>
      <c r="G130" s="460"/>
      <c r="H130" s="460"/>
      <c r="I130" s="460"/>
      <c r="J130" s="460"/>
      <c r="K130" s="460"/>
      <c r="L130" s="460"/>
      <c r="M130" s="460"/>
    </row>
    <row r="131" spans="1:13">
      <c r="A131" s="460"/>
      <c r="B131" s="460"/>
      <c r="C131" s="460"/>
      <c r="D131" s="460"/>
      <c r="E131" s="460"/>
      <c r="F131" s="460"/>
      <c r="G131" s="460"/>
      <c r="H131" s="460"/>
      <c r="I131" s="460"/>
      <c r="J131" s="460"/>
      <c r="K131" s="460"/>
      <c r="L131" s="460"/>
      <c r="M131" s="460"/>
    </row>
    <row r="132" spans="1:13">
      <c r="A132" s="460"/>
      <c r="B132" s="460"/>
      <c r="C132" s="460"/>
      <c r="D132" s="460"/>
      <c r="E132" s="460"/>
      <c r="F132" s="460"/>
      <c r="G132" s="460"/>
      <c r="H132" s="460"/>
      <c r="I132" s="460"/>
      <c r="J132" s="460"/>
      <c r="K132" s="460"/>
      <c r="L132" s="460"/>
      <c r="M132" s="460"/>
    </row>
    <row r="133" spans="1:13">
      <c r="A133" s="460"/>
      <c r="B133" s="460"/>
      <c r="C133" s="460"/>
      <c r="D133" s="460"/>
      <c r="E133" s="460"/>
      <c r="F133" s="460"/>
      <c r="G133" s="460"/>
      <c r="H133" s="460"/>
      <c r="I133" s="460"/>
      <c r="J133" s="460"/>
      <c r="K133" s="460"/>
      <c r="L133" s="460"/>
      <c r="M133" s="460"/>
    </row>
    <row r="134" spans="1:13">
      <c r="A134" s="460"/>
      <c r="B134" s="460"/>
      <c r="C134" s="460"/>
      <c r="D134" s="460"/>
      <c r="E134" s="460"/>
      <c r="F134" s="460"/>
      <c r="G134" s="460"/>
      <c r="H134" s="460"/>
      <c r="I134" s="460"/>
      <c r="J134" s="460"/>
      <c r="K134" s="460"/>
      <c r="L134" s="460"/>
      <c r="M134" s="460"/>
    </row>
    <row r="135" spans="1:13">
      <c r="A135" s="460"/>
      <c r="B135" s="460"/>
      <c r="C135" s="460"/>
      <c r="D135" s="460"/>
      <c r="E135" s="460"/>
      <c r="F135" s="460"/>
      <c r="G135" s="460"/>
      <c r="H135" s="460"/>
      <c r="I135" s="460"/>
      <c r="J135" s="460"/>
      <c r="K135" s="460"/>
      <c r="L135" s="460"/>
      <c r="M135" s="460"/>
    </row>
    <row r="136" spans="1:13">
      <c r="A136" s="460"/>
      <c r="B136" s="460"/>
      <c r="C136" s="460"/>
      <c r="D136" s="460"/>
      <c r="E136" s="460"/>
      <c r="F136" s="460"/>
      <c r="G136" s="460"/>
      <c r="H136" s="460"/>
      <c r="I136" s="460"/>
      <c r="J136" s="460"/>
      <c r="K136" s="460"/>
      <c r="L136" s="460"/>
      <c r="M136" s="460"/>
    </row>
    <row r="137" spans="1:13">
      <c r="A137" s="460"/>
      <c r="B137" s="460"/>
      <c r="C137" s="460"/>
      <c r="D137" s="460"/>
      <c r="E137" s="460"/>
      <c r="F137" s="460"/>
      <c r="G137" s="460"/>
      <c r="H137" s="460"/>
      <c r="I137" s="460"/>
      <c r="J137" s="460"/>
      <c r="K137" s="460"/>
      <c r="L137" s="460"/>
      <c r="M137" s="460"/>
    </row>
    <row r="138" spans="1:13">
      <c r="A138" s="460"/>
      <c r="B138" s="460"/>
      <c r="C138" s="460"/>
      <c r="D138" s="460"/>
      <c r="E138" s="460"/>
      <c r="F138" s="460"/>
      <c r="G138" s="460"/>
      <c r="H138" s="460"/>
      <c r="I138" s="460"/>
      <c r="J138" s="460"/>
      <c r="K138" s="460"/>
      <c r="L138" s="460"/>
      <c r="M138" s="460"/>
    </row>
    <row r="139" spans="1:13">
      <c r="A139" s="460"/>
      <c r="B139" s="460"/>
      <c r="C139" s="460"/>
      <c r="D139" s="460"/>
      <c r="E139" s="460"/>
      <c r="F139" s="460"/>
      <c r="G139" s="460"/>
      <c r="H139" s="460"/>
      <c r="I139" s="460"/>
      <c r="J139" s="460"/>
      <c r="K139" s="460"/>
      <c r="L139" s="460"/>
      <c r="M139" s="460"/>
    </row>
    <row r="140" spans="1:13">
      <c r="A140" s="460"/>
      <c r="B140" s="460"/>
      <c r="C140" s="460"/>
      <c r="D140" s="460"/>
      <c r="E140" s="460"/>
      <c r="F140" s="460"/>
      <c r="G140" s="460"/>
      <c r="H140" s="460"/>
      <c r="I140" s="460"/>
      <c r="J140" s="460"/>
      <c r="K140" s="460"/>
      <c r="L140" s="460"/>
      <c r="M140" s="460"/>
    </row>
    <row r="141" spans="1:13">
      <c r="A141" s="460"/>
      <c r="B141" s="460"/>
      <c r="C141" s="460"/>
      <c r="D141" s="460"/>
      <c r="E141" s="460"/>
      <c r="F141" s="460"/>
      <c r="G141" s="460"/>
      <c r="H141" s="460"/>
      <c r="I141" s="460"/>
      <c r="J141" s="460"/>
      <c r="K141" s="460"/>
      <c r="L141" s="460"/>
      <c r="M141" s="460"/>
    </row>
    <row r="142" spans="1:13">
      <c r="A142" s="460"/>
      <c r="B142" s="460"/>
      <c r="C142" s="460"/>
      <c r="D142" s="460"/>
      <c r="E142" s="460"/>
      <c r="F142" s="460"/>
      <c r="G142" s="460"/>
      <c r="H142" s="460"/>
      <c r="I142" s="460"/>
      <c r="J142" s="460"/>
      <c r="K142" s="460"/>
      <c r="L142" s="460"/>
      <c r="M142" s="460"/>
    </row>
    <row r="143" spans="1:13">
      <c r="A143" s="460"/>
      <c r="B143" s="460"/>
      <c r="C143" s="460"/>
      <c r="D143" s="460"/>
      <c r="E143" s="460"/>
      <c r="F143" s="460"/>
      <c r="G143" s="460"/>
      <c r="H143" s="460"/>
      <c r="I143" s="460"/>
      <c r="J143" s="460"/>
      <c r="K143" s="460"/>
      <c r="L143" s="460"/>
      <c r="M143" s="460"/>
    </row>
    <row r="144" spans="1:13">
      <c r="A144" s="460"/>
      <c r="B144" s="460"/>
      <c r="C144" s="460"/>
      <c r="D144" s="460"/>
      <c r="E144" s="460"/>
      <c r="F144" s="460"/>
      <c r="G144" s="460"/>
      <c r="H144" s="460"/>
      <c r="I144" s="460"/>
      <c r="J144" s="460"/>
      <c r="K144" s="460"/>
      <c r="L144" s="460"/>
      <c r="M144" s="460"/>
    </row>
    <row r="145" spans="1:13">
      <c r="A145" s="460"/>
      <c r="B145" s="460"/>
      <c r="C145" s="460"/>
      <c r="D145" s="460"/>
      <c r="E145" s="460"/>
      <c r="F145" s="460"/>
      <c r="G145" s="460"/>
      <c r="H145" s="460"/>
      <c r="I145" s="460"/>
      <c r="J145" s="460"/>
      <c r="K145" s="460"/>
      <c r="L145" s="460"/>
      <c r="M145" s="460"/>
    </row>
    <row r="146" spans="1:13">
      <c r="A146" s="460"/>
      <c r="B146" s="460"/>
      <c r="C146" s="460"/>
      <c r="D146" s="460"/>
      <c r="E146" s="460"/>
      <c r="F146" s="460"/>
      <c r="G146" s="460"/>
      <c r="H146" s="460"/>
      <c r="I146" s="460"/>
      <c r="J146" s="460"/>
      <c r="K146" s="460"/>
      <c r="L146" s="460"/>
      <c r="M146" s="460"/>
    </row>
    <row r="147" spans="1:13">
      <c r="A147" s="460"/>
      <c r="B147" s="460"/>
      <c r="C147" s="460"/>
      <c r="D147" s="460"/>
      <c r="E147" s="460"/>
      <c r="F147" s="460"/>
      <c r="G147" s="460"/>
      <c r="H147" s="460"/>
      <c r="I147" s="460"/>
      <c r="J147" s="460"/>
      <c r="K147" s="460"/>
      <c r="L147" s="460"/>
      <c r="M147" s="460"/>
    </row>
    <row r="148" spans="1:13">
      <c r="A148" s="460"/>
      <c r="B148" s="460"/>
      <c r="C148" s="460"/>
      <c r="D148" s="460"/>
      <c r="E148" s="460"/>
      <c r="F148" s="460"/>
      <c r="G148" s="460"/>
      <c r="H148" s="460"/>
      <c r="I148" s="460"/>
      <c r="J148" s="460"/>
      <c r="K148" s="460"/>
      <c r="L148" s="460"/>
      <c r="M148" s="460"/>
    </row>
    <row r="149" spans="1:13">
      <c r="A149" s="460"/>
      <c r="B149" s="460"/>
      <c r="C149" s="460"/>
      <c r="D149" s="460"/>
      <c r="E149" s="460"/>
      <c r="F149" s="460"/>
      <c r="G149" s="460"/>
      <c r="H149" s="460"/>
      <c r="I149" s="460"/>
      <c r="J149" s="460"/>
      <c r="K149" s="460"/>
      <c r="L149" s="460"/>
      <c r="M149" s="460"/>
    </row>
    <row r="150" spans="1:13">
      <c r="A150" s="460"/>
      <c r="B150" s="460"/>
      <c r="C150" s="460"/>
      <c r="D150" s="460"/>
      <c r="E150" s="460"/>
      <c r="F150" s="460"/>
      <c r="G150" s="460"/>
      <c r="H150" s="460"/>
      <c r="I150" s="460"/>
      <c r="J150" s="460"/>
      <c r="K150" s="460"/>
      <c r="L150" s="460"/>
      <c r="M150" s="460"/>
    </row>
    <row r="151" spans="1:13">
      <c r="A151" s="460"/>
      <c r="B151" s="460"/>
      <c r="C151" s="460"/>
      <c r="D151" s="460"/>
      <c r="E151" s="460"/>
      <c r="F151" s="460"/>
      <c r="G151" s="460"/>
      <c r="H151" s="460"/>
      <c r="I151" s="460"/>
      <c r="J151" s="460"/>
      <c r="K151" s="460"/>
      <c r="L151" s="460"/>
      <c r="M151" s="460"/>
    </row>
    <row r="152" spans="1:13">
      <c r="A152" s="460"/>
      <c r="B152" s="460"/>
      <c r="C152" s="460"/>
      <c r="D152" s="460"/>
      <c r="E152" s="460"/>
      <c r="F152" s="460"/>
      <c r="G152" s="460"/>
      <c r="H152" s="460"/>
      <c r="I152" s="460"/>
      <c r="J152" s="460"/>
      <c r="K152" s="460"/>
      <c r="L152" s="460"/>
      <c r="M152" s="460"/>
    </row>
    <row r="153" spans="1:13">
      <c r="A153" s="460"/>
      <c r="B153" s="460"/>
      <c r="C153" s="460"/>
      <c r="D153" s="460"/>
      <c r="E153" s="460"/>
      <c r="F153" s="460"/>
      <c r="G153" s="460"/>
      <c r="H153" s="460"/>
      <c r="I153" s="460"/>
      <c r="J153" s="460"/>
      <c r="K153" s="460"/>
      <c r="L153" s="460"/>
      <c r="M153" s="460"/>
    </row>
    <row r="154" spans="1:13">
      <c r="A154" s="460"/>
      <c r="B154" s="460"/>
      <c r="C154" s="460"/>
      <c r="D154" s="460"/>
      <c r="E154" s="460"/>
      <c r="F154" s="460"/>
      <c r="G154" s="460"/>
      <c r="H154" s="460"/>
      <c r="I154" s="460"/>
      <c r="J154" s="460"/>
      <c r="K154" s="460"/>
      <c r="L154" s="460"/>
      <c r="M154" s="460"/>
    </row>
    <row r="155" spans="1:13">
      <c r="A155" s="460"/>
      <c r="B155" s="460"/>
      <c r="C155" s="460"/>
      <c r="D155" s="460"/>
      <c r="E155" s="460"/>
      <c r="F155" s="460"/>
      <c r="G155" s="460"/>
      <c r="H155" s="460"/>
      <c r="I155" s="460"/>
      <c r="J155" s="460"/>
      <c r="K155" s="460"/>
      <c r="L155" s="460"/>
      <c r="M155" s="460"/>
    </row>
    <row r="156" spans="1:13">
      <c r="A156" s="460"/>
      <c r="B156" s="460"/>
      <c r="C156" s="460"/>
      <c r="D156" s="460"/>
      <c r="E156" s="460"/>
      <c r="F156" s="460"/>
      <c r="G156" s="460"/>
      <c r="H156" s="460"/>
      <c r="I156" s="460"/>
      <c r="J156" s="460"/>
      <c r="K156" s="460"/>
      <c r="L156" s="460"/>
      <c r="M156" s="460"/>
    </row>
    <row r="157" spans="1:13">
      <c r="A157" s="460"/>
      <c r="B157" s="460"/>
      <c r="C157" s="460"/>
      <c r="D157" s="460"/>
      <c r="E157" s="460"/>
      <c r="F157" s="460"/>
      <c r="G157" s="460"/>
      <c r="H157" s="460"/>
      <c r="I157" s="460"/>
      <c r="J157" s="460"/>
      <c r="K157" s="460"/>
      <c r="L157" s="460"/>
      <c r="M157" s="460"/>
    </row>
    <row r="158" spans="1:13">
      <c r="A158" s="460"/>
      <c r="B158" s="460"/>
      <c r="C158" s="460"/>
      <c r="D158" s="460"/>
      <c r="E158" s="460"/>
      <c r="F158" s="460"/>
      <c r="G158" s="460"/>
      <c r="H158" s="460"/>
      <c r="I158" s="460"/>
      <c r="J158" s="460"/>
      <c r="K158" s="460"/>
      <c r="L158" s="460"/>
      <c r="M158" s="460"/>
    </row>
    <row r="159" spans="1:13">
      <c r="A159" s="460"/>
      <c r="B159" s="460"/>
      <c r="C159" s="460"/>
      <c r="D159" s="460"/>
      <c r="E159" s="460"/>
      <c r="F159" s="460"/>
      <c r="G159" s="460"/>
      <c r="H159" s="460"/>
      <c r="I159" s="460"/>
      <c r="J159" s="460"/>
      <c r="K159" s="460"/>
      <c r="L159" s="460"/>
      <c r="M159" s="460"/>
    </row>
    <row r="160" spans="1:13">
      <c r="A160" s="460"/>
      <c r="B160" s="460"/>
      <c r="C160" s="460"/>
      <c r="D160" s="460"/>
      <c r="E160" s="460"/>
      <c r="F160" s="460"/>
      <c r="G160" s="460"/>
      <c r="H160" s="460"/>
      <c r="I160" s="460"/>
      <c r="J160" s="460"/>
      <c r="K160" s="460"/>
      <c r="L160" s="460"/>
      <c r="M160" s="460"/>
    </row>
    <row r="161" spans="1:13">
      <c r="A161" s="460"/>
      <c r="B161" s="460"/>
      <c r="C161" s="460"/>
      <c r="D161" s="460"/>
      <c r="E161" s="460"/>
      <c r="F161" s="460"/>
      <c r="G161" s="460"/>
      <c r="H161" s="460"/>
      <c r="I161" s="460"/>
      <c r="J161" s="460"/>
      <c r="K161" s="460"/>
      <c r="L161" s="460"/>
      <c r="M161" s="460"/>
    </row>
    <row r="162" spans="1:13">
      <c r="A162" s="460"/>
      <c r="B162" s="460"/>
      <c r="C162" s="460"/>
      <c r="D162" s="460"/>
      <c r="E162" s="460"/>
      <c r="F162" s="460"/>
      <c r="G162" s="460"/>
      <c r="H162" s="460"/>
      <c r="I162" s="460"/>
      <c r="J162" s="460"/>
      <c r="K162" s="460"/>
      <c r="L162" s="460"/>
      <c r="M162" s="460"/>
    </row>
    <row r="163" spans="1:13">
      <c r="A163" s="460"/>
      <c r="B163" s="460"/>
      <c r="C163" s="460"/>
      <c r="D163" s="460"/>
      <c r="E163" s="460"/>
      <c r="F163" s="460"/>
      <c r="G163" s="460"/>
      <c r="H163" s="460"/>
      <c r="I163" s="460"/>
      <c r="J163" s="460"/>
      <c r="K163" s="460"/>
      <c r="L163" s="460"/>
      <c r="M163" s="460"/>
    </row>
    <row r="164" spans="1:13">
      <c r="A164" s="460"/>
      <c r="B164" s="460"/>
      <c r="C164" s="460"/>
      <c r="D164" s="460"/>
      <c r="E164" s="460"/>
      <c r="F164" s="460"/>
      <c r="G164" s="460"/>
      <c r="H164" s="460"/>
      <c r="I164" s="460"/>
      <c r="J164" s="460"/>
      <c r="K164" s="460"/>
      <c r="L164" s="460"/>
      <c r="M164" s="460"/>
    </row>
    <row r="165" spans="1:13">
      <c r="A165" s="460"/>
      <c r="B165" s="460"/>
      <c r="C165" s="460"/>
      <c r="D165" s="460"/>
      <c r="E165" s="460"/>
      <c r="F165" s="460"/>
      <c r="G165" s="460"/>
      <c r="H165" s="460"/>
      <c r="I165" s="460"/>
      <c r="J165" s="460"/>
      <c r="K165" s="460"/>
      <c r="L165" s="460"/>
      <c r="M165" s="460"/>
    </row>
    <row r="166" spans="1:13">
      <c r="A166" s="460"/>
      <c r="B166" s="460"/>
      <c r="C166" s="460"/>
      <c r="D166" s="460"/>
      <c r="E166" s="460"/>
      <c r="F166" s="460"/>
      <c r="G166" s="460"/>
      <c r="H166" s="460"/>
      <c r="I166" s="460"/>
      <c r="J166" s="460"/>
      <c r="K166" s="460"/>
      <c r="L166" s="460"/>
      <c r="M166" s="460"/>
    </row>
    <row r="167" spans="1:13">
      <c r="A167" s="460"/>
      <c r="B167" s="460"/>
      <c r="C167" s="460"/>
      <c r="D167" s="460"/>
      <c r="E167" s="460"/>
      <c r="F167" s="460"/>
      <c r="G167" s="460"/>
      <c r="H167" s="460"/>
      <c r="I167" s="460"/>
      <c r="J167" s="460"/>
      <c r="K167" s="460"/>
      <c r="L167" s="460"/>
      <c r="M167" s="460"/>
    </row>
    <row r="168" spans="1:13">
      <c r="A168" s="460"/>
      <c r="B168" s="460"/>
      <c r="C168" s="460"/>
      <c r="D168" s="460"/>
      <c r="E168" s="460"/>
      <c r="F168" s="460"/>
      <c r="G168" s="460"/>
      <c r="H168" s="460"/>
      <c r="I168" s="460"/>
      <c r="J168" s="460"/>
      <c r="K168" s="460"/>
      <c r="L168" s="460"/>
      <c r="M168" s="460"/>
    </row>
    <row r="169" spans="1:13">
      <c r="A169" s="460"/>
      <c r="B169" s="460"/>
      <c r="C169" s="460"/>
      <c r="D169" s="460"/>
      <c r="E169" s="460"/>
      <c r="F169" s="460"/>
      <c r="G169" s="460"/>
      <c r="H169" s="460"/>
      <c r="I169" s="460"/>
      <c r="J169" s="460"/>
      <c r="K169" s="460"/>
      <c r="L169" s="460"/>
      <c r="M169" s="460"/>
    </row>
    <row r="170" spans="1:13">
      <c r="A170" s="460"/>
      <c r="B170" s="460"/>
      <c r="C170" s="460"/>
      <c r="D170" s="460"/>
      <c r="E170" s="460"/>
      <c r="F170" s="460"/>
      <c r="G170" s="460"/>
      <c r="H170" s="460"/>
      <c r="I170" s="460"/>
      <c r="J170" s="460"/>
      <c r="K170" s="460"/>
      <c r="L170" s="460"/>
      <c r="M170" s="460"/>
    </row>
    <row r="171" spans="1:13">
      <c r="A171" s="460"/>
      <c r="B171" s="460"/>
      <c r="C171" s="460"/>
      <c r="D171" s="460"/>
      <c r="E171" s="460"/>
      <c r="F171" s="460"/>
      <c r="G171" s="460"/>
      <c r="H171" s="460"/>
      <c r="I171" s="460"/>
      <c r="J171" s="460"/>
      <c r="K171" s="460"/>
      <c r="L171" s="460"/>
      <c r="M171" s="460"/>
    </row>
    <row r="172" spans="1:13">
      <c r="A172" s="460"/>
      <c r="B172" s="460"/>
      <c r="C172" s="460"/>
      <c r="D172" s="460"/>
      <c r="E172" s="460"/>
      <c r="F172" s="460"/>
      <c r="G172" s="460"/>
      <c r="H172" s="460"/>
      <c r="I172" s="460"/>
      <c r="J172" s="460"/>
      <c r="K172" s="460"/>
      <c r="L172" s="460"/>
      <c r="M172" s="460"/>
    </row>
    <row r="173" spans="1:13">
      <c r="A173" s="460"/>
      <c r="B173" s="460"/>
      <c r="C173" s="460"/>
      <c r="D173" s="460"/>
      <c r="E173" s="460"/>
      <c r="F173" s="460"/>
      <c r="G173" s="460"/>
      <c r="H173" s="460"/>
      <c r="I173" s="460"/>
      <c r="J173" s="460"/>
      <c r="K173" s="460"/>
      <c r="L173" s="460"/>
      <c r="M173" s="460"/>
    </row>
    <row r="174" spans="1:13">
      <c r="A174" s="460"/>
      <c r="B174" s="460"/>
      <c r="C174" s="460"/>
      <c r="D174" s="460"/>
      <c r="E174" s="460"/>
      <c r="F174" s="460"/>
      <c r="G174" s="460"/>
      <c r="H174" s="460"/>
      <c r="I174" s="460"/>
      <c r="J174" s="460"/>
      <c r="K174" s="460"/>
      <c r="L174" s="460"/>
      <c r="M174" s="460"/>
    </row>
  </sheetData>
  <mergeCells count="4">
    <mergeCell ref="C1:J1"/>
    <mergeCell ref="C2:J2"/>
    <mergeCell ref="C3:J3"/>
    <mergeCell ref="C5:J5"/>
  </mergeCells>
  <pageMargins left="0.25" right="0.25" top="0.75" bottom="0.75" header="0.3" footer="0.3"/>
  <pageSetup scale="77" orientation="landscape" blackAndWhite="1" r:id="rId1"/>
  <legacyDrawing r:id="rId2"/>
</worksheet>
</file>

<file path=xl/worksheets/sheet14.xml><?xml version="1.0" encoding="utf-8"?>
<worksheet xmlns="http://schemas.openxmlformats.org/spreadsheetml/2006/main" xmlns:r="http://schemas.openxmlformats.org/officeDocument/2006/relationships">
  <sheetPr codeName="Sheet19">
    <pageSetUpPr fitToPage="1"/>
  </sheetPr>
  <dimension ref="A1:L202"/>
  <sheetViews>
    <sheetView showGridLines="0" topLeftCell="A13" zoomScale="75" workbookViewId="0">
      <selection activeCell="G32" sqref="G32"/>
    </sheetView>
  </sheetViews>
  <sheetFormatPr defaultColWidth="8.85546875" defaultRowHeight="15"/>
  <cols>
    <col min="1" max="1" width="13.42578125" style="124" customWidth="1"/>
    <col min="2" max="2" width="4.7109375" style="124" customWidth="1"/>
    <col min="3" max="3" width="7.7109375" style="123" customWidth="1"/>
    <col min="4" max="4" width="38" style="123" customWidth="1"/>
    <col min="5" max="5" width="18" style="123" bestFit="1" customWidth="1"/>
    <col min="6" max="6" width="13.7109375" style="123" customWidth="1"/>
    <col min="7" max="7" width="15.28515625" style="123" customWidth="1"/>
    <col min="8" max="8" width="15.7109375" style="123" customWidth="1"/>
    <col min="9" max="16384" width="8.85546875" style="123"/>
  </cols>
  <sheetData>
    <row r="1" spans="1:12">
      <c r="A1" s="297"/>
      <c r="B1" s="624" t="str">
        <f>TestYear &amp; " Test Year"</f>
        <v>2015 Test Year</v>
      </c>
      <c r="C1" s="478"/>
      <c r="D1" s="568"/>
      <c r="E1" s="568"/>
      <c r="F1" s="568"/>
      <c r="G1" s="568"/>
      <c r="H1" s="477" t="s">
        <v>310</v>
      </c>
      <c r="I1" s="566"/>
      <c r="J1" s="566"/>
      <c r="K1" s="566"/>
      <c r="L1" s="566"/>
    </row>
    <row r="2" spans="1:12">
      <c r="A2" s="567"/>
      <c r="B2" s="577"/>
      <c r="C2" s="578"/>
      <c r="D2" s="478"/>
      <c r="E2" s="478"/>
      <c r="F2" s="478"/>
      <c r="G2" s="478"/>
      <c r="H2" s="568"/>
      <c r="I2" s="566"/>
      <c r="J2" s="566"/>
      <c r="K2" s="566"/>
      <c r="L2" s="566"/>
    </row>
    <row r="3" spans="1:12" ht="18">
      <c r="A3" s="567"/>
      <c r="B3" s="577"/>
      <c r="C3" s="568"/>
      <c r="D3" s="1945" t="str">
        <f>Utility</f>
        <v>MADISON WATER UTILITY</v>
      </c>
      <c r="E3" s="1946"/>
      <c r="F3" s="1946"/>
      <c r="G3" s="1946"/>
      <c r="H3" s="482"/>
      <c r="I3" s="566"/>
      <c r="J3" s="566"/>
      <c r="K3" s="566"/>
      <c r="L3" s="566"/>
    </row>
    <row r="4" spans="1:12" ht="18">
      <c r="A4" s="470"/>
      <c r="B4" s="483"/>
      <c r="C4" s="478"/>
      <c r="D4" s="579"/>
      <c r="E4" s="482"/>
      <c r="F4" s="569"/>
      <c r="G4" s="482"/>
      <c r="H4" s="482"/>
      <c r="I4" s="566"/>
      <c r="J4" s="566"/>
      <c r="K4" s="566"/>
      <c r="L4" s="566"/>
    </row>
    <row r="5" spans="1:12" ht="15.75">
      <c r="A5" s="570"/>
      <c r="B5" s="580"/>
      <c r="C5" s="482"/>
      <c r="D5" s="1947" t="s">
        <v>311</v>
      </c>
      <c r="E5" s="1947"/>
      <c r="F5" s="1947"/>
      <c r="G5" s="1947"/>
      <c r="H5" s="482"/>
      <c r="I5" s="566"/>
      <c r="J5" s="566"/>
      <c r="K5" s="566"/>
      <c r="L5" s="566"/>
    </row>
    <row r="6" spans="1:12">
      <c r="A6" s="582"/>
      <c r="B6" s="581"/>
      <c r="C6" s="482"/>
      <c r="D6" s="1948" t="str">
        <f>CONCATENATE("Estimated for Test Year ",TestYear)</f>
        <v>Estimated for Test Year 2015</v>
      </c>
      <c r="E6" s="1948"/>
      <c r="F6" s="1948"/>
      <c r="G6" s="1948"/>
      <c r="H6" s="482"/>
      <c r="I6" s="566"/>
      <c r="J6" s="566"/>
      <c r="K6" s="566"/>
      <c r="L6" s="566"/>
    </row>
    <row r="7" spans="1:12" ht="15.75" thickBot="1">
      <c r="A7" s="571"/>
      <c r="B7" s="571"/>
      <c r="C7" s="572"/>
      <c r="D7" s="573"/>
      <c r="E7" s="573"/>
      <c r="F7" s="573"/>
      <c r="G7" s="573"/>
      <c r="H7" s="568"/>
      <c r="I7" s="566"/>
      <c r="J7" s="566"/>
      <c r="K7" s="566"/>
      <c r="L7" s="566"/>
    </row>
    <row r="8" spans="1:12" ht="15.75" thickTop="1">
      <c r="A8" s="571"/>
      <c r="B8" s="601"/>
      <c r="C8" s="602"/>
      <c r="D8" s="603"/>
      <c r="E8" s="603"/>
      <c r="F8" s="603"/>
      <c r="G8" s="603"/>
      <c r="H8" s="604"/>
      <c r="I8" s="605"/>
      <c r="J8" s="566"/>
      <c r="K8" s="566"/>
      <c r="L8" s="566"/>
    </row>
    <row r="9" spans="1:12" ht="15.75">
      <c r="A9" s="574"/>
      <c r="B9" s="625"/>
      <c r="C9" s="615" t="s">
        <v>312</v>
      </c>
      <c r="D9" s="584"/>
      <c r="E9" s="586"/>
      <c r="F9" s="586"/>
      <c r="G9" s="586"/>
      <c r="H9" s="584"/>
      <c r="I9" s="606"/>
      <c r="J9" s="566"/>
      <c r="K9" s="566"/>
      <c r="L9" s="566"/>
    </row>
    <row r="10" spans="1:12">
      <c r="A10" s="567"/>
      <c r="B10" s="607"/>
      <c r="C10" s="584" t="s">
        <v>313</v>
      </c>
      <c r="D10" s="584"/>
      <c r="E10" s="585"/>
      <c r="F10" s="608"/>
      <c r="G10" s="608"/>
      <c r="H10" s="584"/>
      <c r="I10" s="606"/>
      <c r="J10" s="566"/>
      <c r="K10" s="566"/>
      <c r="L10" s="566"/>
    </row>
    <row r="11" spans="1:12">
      <c r="A11" s="567"/>
      <c r="B11" s="607"/>
      <c r="C11" s="590"/>
      <c r="D11" s="590" t="s">
        <v>314</v>
      </c>
      <c r="E11" s="585"/>
      <c r="F11" s="608"/>
      <c r="G11" s="609" t="s">
        <v>315</v>
      </c>
      <c r="H11" s="622">
        <f>Attach5!J39</f>
        <v>0</v>
      </c>
      <c r="I11" s="606"/>
      <c r="J11" s="566"/>
      <c r="K11" s="566"/>
      <c r="L11" s="566"/>
    </row>
    <row r="12" spans="1:12">
      <c r="A12" s="576"/>
      <c r="B12" s="610"/>
      <c r="C12" s="590"/>
      <c r="D12" s="590"/>
      <c r="E12" s="585"/>
      <c r="F12" s="608"/>
      <c r="G12" s="608"/>
      <c r="H12" s="587"/>
      <c r="I12" s="606"/>
      <c r="J12" s="566"/>
      <c r="K12" s="566"/>
      <c r="L12" s="566"/>
    </row>
    <row r="13" spans="1:12">
      <c r="A13" s="576"/>
      <c r="B13" s="610"/>
      <c r="C13" s="590"/>
      <c r="D13" s="590"/>
      <c r="E13" s="585"/>
      <c r="F13" s="608"/>
      <c r="G13" s="608"/>
      <c r="H13" s="587"/>
      <c r="I13" s="606"/>
      <c r="J13" s="566"/>
      <c r="K13" s="566"/>
      <c r="L13" s="566"/>
    </row>
    <row r="14" spans="1:12" ht="15.75">
      <c r="A14" s="574"/>
      <c r="B14" s="625"/>
      <c r="C14" s="621" t="s">
        <v>312</v>
      </c>
      <c r="D14" s="590"/>
      <c r="E14" s="585"/>
      <c r="F14" s="608"/>
      <c r="G14" s="608"/>
      <c r="H14" s="587"/>
      <c r="I14" s="606"/>
      <c r="J14" s="566"/>
      <c r="K14" s="566"/>
      <c r="L14" s="566"/>
    </row>
    <row r="15" spans="1:12">
      <c r="A15" s="576"/>
      <c r="B15" s="610"/>
      <c r="C15" s="584" t="s">
        <v>316</v>
      </c>
      <c r="D15" s="584"/>
      <c r="E15" s="585"/>
      <c r="F15" s="608"/>
      <c r="G15" s="608"/>
      <c r="H15" s="584"/>
      <c r="I15" s="606"/>
      <c r="J15" s="566"/>
      <c r="K15" s="566"/>
      <c r="L15" s="566"/>
    </row>
    <row r="16" spans="1:12">
      <c r="A16" s="576"/>
      <c r="B16" s="610"/>
      <c r="C16" s="584"/>
      <c r="D16" s="590" t="s">
        <v>317</v>
      </c>
      <c r="E16" s="584"/>
      <c r="F16" s="584"/>
      <c r="G16" s="611"/>
      <c r="H16" s="600">
        <v>0</v>
      </c>
      <c r="I16" s="606"/>
      <c r="J16" s="566"/>
      <c r="K16" s="566"/>
      <c r="L16" s="566"/>
    </row>
    <row r="17" spans="1:12">
      <c r="A17" s="567"/>
      <c r="B17" s="607"/>
      <c r="C17" s="584"/>
      <c r="D17" s="584"/>
      <c r="E17" s="585"/>
      <c r="F17" s="585"/>
      <c r="G17" s="585"/>
      <c r="H17" s="593"/>
      <c r="I17" s="606"/>
      <c r="J17" s="566"/>
      <c r="K17" s="566"/>
      <c r="L17" s="566"/>
    </row>
    <row r="18" spans="1:12" ht="15.75">
      <c r="A18" s="567"/>
      <c r="B18" s="607"/>
      <c r="C18" s="584"/>
      <c r="D18" s="584"/>
      <c r="E18" s="585"/>
      <c r="F18" s="586"/>
      <c r="G18" s="588"/>
      <c r="H18" s="584"/>
      <c r="I18" s="606"/>
      <c r="J18" s="566"/>
      <c r="K18" s="566"/>
      <c r="L18" s="566"/>
    </row>
    <row r="19" spans="1:12" ht="15.75">
      <c r="A19" s="574"/>
      <c r="B19" s="625"/>
      <c r="C19" s="621" t="s">
        <v>318</v>
      </c>
      <c r="D19" s="583"/>
      <c r="E19" s="586"/>
      <c r="F19" s="586"/>
      <c r="G19" s="612"/>
      <c r="H19" s="584"/>
      <c r="I19" s="606"/>
      <c r="J19" s="566"/>
      <c r="K19" s="566"/>
      <c r="L19" s="566"/>
    </row>
    <row r="20" spans="1:12">
      <c r="A20" s="568"/>
      <c r="B20" s="613"/>
      <c r="C20" s="590" t="s">
        <v>319</v>
      </c>
      <c r="D20" s="584"/>
      <c r="E20" s="586"/>
      <c r="F20" s="586"/>
      <c r="G20" s="589"/>
      <c r="H20" s="584"/>
      <c r="I20" s="606"/>
      <c r="J20" s="566"/>
      <c r="K20" s="566"/>
      <c r="L20" s="566"/>
    </row>
    <row r="21" spans="1:12" s="125" customFormat="1">
      <c r="A21" s="577"/>
      <c r="B21" s="607"/>
      <c r="C21" s="584"/>
      <c r="D21" s="590" t="s">
        <v>314</v>
      </c>
      <c r="E21" s="586"/>
      <c r="F21" s="586"/>
      <c r="G21" s="599" t="s">
        <v>315</v>
      </c>
      <c r="H21" s="622">
        <f>Attach5!G72</f>
        <v>2982186</v>
      </c>
      <c r="I21" s="606"/>
      <c r="J21" s="568"/>
      <c r="K21" s="568"/>
      <c r="L21" s="568"/>
    </row>
    <row r="22" spans="1:12" s="125" customFormat="1">
      <c r="A22" s="568"/>
      <c r="B22" s="613"/>
      <c r="C22" s="584"/>
      <c r="D22" s="597"/>
      <c r="E22" s="586"/>
      <c r="F22" s="586"/>
      <c r="G22" s="591"/>
      <c r="H22" s="584"/>
      <c r="I22" s="606"/>
      <c r="J22" s="568"/>
      <c r="K22" s="568"/>
      <c r="L22" s="568"/>
    </row>
    <row r="23" spans="1:12" s="125" customFormat="1" ht="15" customHeight="1">
      <c r="A23" s="568"/>
      <c r="B23" s="613"/>
      <c r="C23" s="584"/>
      <c r="D23" s="584"/>
      <c r="E23" s="585"/>
      <c r="F23" s="585"/>
      <c r="G23" s="585"/>
      <c r="H23" s="584"/>
      <c r="I23" s="606"/>
      <c r="J23" s="568"/>
      <c r="K23" s="568"/>
      <c r="L23" s="568"/>
    </row>
    <row r="24" spans="1:12" s="125" customFormat="1" ht="15.75">
      <c r="A24" s="574"/>
      <c r="B24" s="625"/>
      <c r="C24" s="621" t="s">
        <v>318</v>
      </c>
      <c r="D24" s="583"/>
      <c r="E24" s="586"/>
      <c r="F24" s="586"/>
      <c r="G24" s="591"/>
      <c r="H24" s="584"/>
      <c r="I24" s="606"/>
      <c r="J24" s="568"/>
      <c r="K24" s="568"/>
      <c r="L24" s="568"/>
    </row>
    <row r="25" spans="1:12" s="125" customFormat="1">
      <c r="A25" s="577"/>
      <c r="B25" s="607"/>
      <c r="C25" s="584" t="s">
        <v>320</v>
      </c>
      <c r="D25" s="584"/>
      <c r="E25" s="585"/>
      <c r="F25" s="592"/>
      <c r="G25" s="585"/>
      <c r="H25" s="593"/>
      <c r="I25" s="606"/>
      <c r="J25" s="568"/>
      <c r="K25" s="568"/>
      <c r="L25" s="568"/>
    </row>
    <row r="26" spans="1:12" s="125" customFormat="1" ht="15.75" thickBot="1">
      <c r="A26" s="575"/>
      <c r="B26" s="610"/>
      <c r="C26" s="584"/>
      <c r="D26" s="590" t="s">
        <v>317</v>
      </c>
      <c r="E26" s="585"/>
      <c r="F26" s="584"/>
      <c r="G26" s="611"/>
      <c r="H26" s="600">
        <v>0</v>
      </c>
      <c r="I26" s="606"/>
      <c r="J26" s="568"/>
      <c r="K26" s="568"/>
      <c r="L26" s="568"/>
    </row>
    <row r="27" spans="1:12" s="125" customFormat="1" ht="15.75" thickBot="1">
      <c r="A27" s="577"/>
      <c r="B27" s="607"/>
      <c r="C27" s="584"/>
      <c r="D27" s="598" t="s">
        <v>321</v>
      </c>
      <c r="E27" s="594"/>
      <c r="F27" s="595"/>
      <c r="G27" s="585"/>
      <c r="H27" s="593"/>
      <c r="I27" s="606"/>
      <c r="J27" s="568"/>
      <c r="K27" s="568"/>
      <c r="L27" s="568"/>
    </row>
    <row r="28" spans="1:12" s="125" customFormat="1">
      <c r="A28" s="575"/>
      <c r="B28" s="610"/>
      <c r="C28" s="584"/>
      <c r="D28" s="584"/>
      <c r="E28" s="585"/>
      <c r="F28" s="585"/>
      <c r="G28" s="585"/>
      <c r="H28" s="584"/>
      <c r="I28" s="606"/>
      <c r="J28" s="568"/>
      <c r="K28" s="568"/>
      <c r="L28" s="568"/>
    </row>
    <row r="29" spans="1:12" s="125" customFormat="1">
      <c r="A29" s="577"/>
      <c r="B29" s="607"/>
      <c r="C29" s="584"/>
      <c r="D29" s="584"/>
      <c r="E29" s="585"/>
      <c r="F29" s="585"/>
      <c r="G29" s="585"/>
      <c r="H29" s="584"/>
      <c r="I29" s="606"/>
      <c r="J29" s="568"/>
      <c r="K29" s="568"/>
      <c r="L29" s="568"/>
    </row>
    <row r="30" spans="1:12" ht="15.75">
      <c r="A30" s="574"/>
      <c r="B30" s="625"/>
      <c r="C30" s="621" t="s">
        <v>322</v>
      </c>
      <c r="D30" s="583"/>
      <c r="E30" s="584"/>
      <c r="F30" s="584"/>
      <c r="G30" s="584"/>
      <c r="H30" s="584"/>
      <c r="I30" s="606"/>
      <c r="J30" s="566"/>
      <c r="K30" s="566"/>
      <c r="L30" s="566"/>
    </row>
    <row r="31" spans="1:12">
      <c r="A31" s="567"/>
      <c r="B31" s="607"/>
      <c r="C31" s="584"/>
      <c r="D31" s="590" t="s">
        <v>317</v>
      </c>
      <c r="E31" s="585"/>
      <c r="F31" s="584"/>
      <c r="G31" s="614" t="s">
        <v>1337</v>
      </c>
      <c r="H31" s="622">
        <f>Attach3W!K37</f>
        <v>68940</v>
      </c>
      <c r="I31" s="606"/>
      <c r="J31" s="566"/>
      <c r="K31" s="566"/>
      <c r="L31" s="566"/>
    </row>
    <row r="32" spans="1:12">
      <c r="A32" s="567"/>
      <c r="B32" s="607"/>
      <c r="C32" s="584"/>
      <c r="D32" s="584"/>
      <c r="E32" s="584"/>
      <c r="F32" s="584"/>
      <c r="G32" s="584"/>
      <c r="H32" s="584"/>
      <c r="I32" s="606"/>
      <c r="J32" s="566"/>
      <c r="K32" s="566"/>
      <c r="L32" s="566"/>
    </row>
    <row r="33" spans="1:12" ht="15.75">
      <c r="A33" s="574"/>
      <c r="B33" s="625"/>
      <c r="C33" s="621" t="s">
        <v>323</v>
      </c>
      <c r="D33" s="583"/>
      <c r="E33" s="584"/>
      <c r="F33" s="584"/>
      <c r="G33" s="584"/>
      <c r="H33" s="584"/>
      <c r="I33" s="606"/>
      <c r="J33" s="566"/>
      <c r="K33" s="566"/>
      <c r="L33" s="566"/>
    </row>
    <row r="34" spans="1:12" ht="36.75" customHeight="1">
      <c r="A34" s="567"/>
      <c r="B34" s="607"/>
      <c r="C34" s="1949" t="s">
        <v>324</v>
      </c>
      <c r="D34" s="1949"/>
      <c r="E34" s="1949"/>
      <c r="F34" s="1949"/>
      <c r="G34" s="584"/>
      <c r="H34" s="584"/>
      <c r="I34" s="606"/>
      <c r="J34" s="566"/>
      <c r="K34" s="566"/>
      <c r="L34" s="566"/>
    </row>
    <row r="35" spans="1:12">
      <c r="A35" s="567"/>
      <c r="B35" s="607"/>
      <c r="C35" s="584"/>
      <c r="D35" s="590" t="s">
        <v>317</v>
      </c>
      <c r="E35" s="585"/>
      <c r="F35" s="584"/>
      <c r="G35" s="611"/>
      <c r="H35" s="600">
        <v>0</v>
      </c>
      <c r="I35" s="606"/>
      <c r="J35" s="566"/>
      <c r="K35" s="566"/>
      <c r="L35" s="566"/>
    </row>
    <row r="36" spans="1:12">
      <c r="A36" s="567"/>
      <c r="B36" s="607"/>
      <c r="C36" s="584"/>
      <c r="D36" s="584"/>
      <c r="E36" s="584"/>
      <c r="F36" s="584"/>
      <c r="G36" s="584"/>
      <c r="H36" s="584"/>
      <c r="I36" s="606"/>
      <c r="J36" s="566"/>
      <c r="K36" s="566"/>
      <c r="L36" s="566"/>
    </row>
    <row r="37" spans="1:12" ht="16.5" thickBot="1">
      <c r="A37" s="567"/>
      <c r="B37" s="607"/>
      <c r="C37" s="584"/>
      <c r="D37" s="615" t="s">
        <v>325</v>
      </c>
      <c r="E37" s="615"/>
      <c r="F37" s="615"/>
      <c r="G37" s="615"/>
      <c r="H37" s="623">
        <f>ROUND(SUM(H11:H35),0)</f>
        <v>3051126</v>
      </c>
      <c r="I37" s="606"/>
      <c r="J37" s="566"/>
      <c r="K37" s="566"/>
      <c r="L37" s="566"/>
    </row>
    <row r="38" spans="1:12" ht="15.75" thickTop="1">
      <c r="A38" s="567"/>
      <c r="B38" s="607"/>
      <c r="C38" s="584"/>
      <c r="D38" s="584"/>
      <c r="E38" s="584"/>
      <c r="F38" s="584"/>
      <c r="G38" s="584"/>
      <c r="H38" s="584"/>
      <c r="I38" s="606"/>
      <c r="J38" s="566"/>
      <c r="K38" s="566"/>
      <c r="L38" s="566"/>
    </row>
    <row r="39" spans="1:12" ht="16.5" thickBot="1">
      <c r="A39" s="567"/>
      <c r="B39" s="607"/>
      <c r="C39" s="584"/>
      <c r="D39" s="615" t="s">
        <v>1039</v>
      </c>
      <c r="E39" s="615"/>
      <c r="F39" s="615"/>
      <c r="G39" s="615"/>
      <c r="H39" s="623">
        <f>Attach3W!K37</f>
        <v>68940</v>
      </c>
      <c r="I39" s="606"/>
      <c r="J39" s="566"/>
      <c r="K39" s="566"/>
      <c r="L39" s="566"/>
    </row>
    <row r="40" spans="1:12" ht="15.75" thickTop="1">
      <c r="A40" s="567"/>
      <c r="B40" s="607"/>
      <c r="C40" s="584"/>
      <c r="D40" s="584"/>
      <c r="E40" s="584"/>
      <c r="F40" s="584"/>
      <c r="G40" s="584"/>
      <c r="H40" s="584"/>
      <c r="I40" s="606"/>
      <c r="J40" s="566"/>
      <c r="K40" s="566"/>
      <c r="L40" s="566"/>
    </row>
    <row r="41" spans="1:12">
      <c r="A41" s="567"/>
      <c r="B41" s="607"/>
      <c r="C41" s="584"/>
      <c r="D41" s="584"/>
      <c r="E41" s="584"/>
      <c r="F41" s="584"/>
      <c r="G41" s="584"/>
      <c r="H41" s="584"/>
      <c r="I41" s="606"/>
      <c r="J41" s="566"/>
      <c r="K41" s="566"/>
      <c r="L41" s="566"/>
    </row>
    <row r="42" spans="1:12">
      <c r="A42" s="567"/>
      <c r="B42" s="607"/>
      <c r="C42" s="584"/>
      <c r="D42" s="584"/>
      <c r="E42" s="584"/>
      <c r="F42" s="584"/>
      <c r="G42" s="584"/>
      <c r="H42" s="584"/>
      <c r="I42" s="606"/>
      <c r="J42" s="566"/>
      <c r="K42" s="566"/>
      <c r="L42" s="566"/>
    </row>
    <row r="43" spans="1:12">
      <c r="A43" s="567"/>
      <c r="B43" s="607"/>
      <c r="C43" s="584"/>
      <c r="D43" s="584"/>
      <c r="E43" s="584"/>
      <c r="F43" s="584"/>
      <c r="G43" s="584"/>
      <c r="H43" s="584"/>
      <c r="I43" s="606"/>
      <c r="J43" s="566"/>
      <c r="K43" s="566"/>
      <c r="L43" s="566"/>
    </row>
    <row r="44" spans="1:12" ht="15.75">
      <c r="A44" s="567"/>
      <c r="B44" s="607"/>
      <c r="C44" s="596"/>
      <c r="D44" s="584"/>
      <c r="E44" s="584"/>
      <c r="F44" s="584"/>
      <c r="G44" s="584"/>
      <c r="H44" s="584"/>
      <c r="I44" s="606"/>
      <c r="J44" s="566"/>
      <c r="K44" s="566"/>
      <c r="L44" s="566"/>
    </row>
    <row r="45" spans="1:12" ht="15.75" thickBot="1">
      <c r="A45" s="567"/>
      <c r="B45" s="616"/>
      <c r="C45" s="617"/>
      <c r="D45" s="618"/>
      <c r="E45" s="617"/>
      <c r="F45" s="617"/>
      <c r="G45" s="617"/>
      <c r="H45" s="619"/>
      <c r="I45" s="620"/>
      <c r="J45" s="566"/>
      <c r="K45" s="566"/>
      <c r="L45" s="566"/>
    </row>
    <row r="46" spans="1:12" ht="15.75" thickTop="1">
      <c r="A46" s="567"/>
      <c r="B46" s="567"/>
      <c r="C46" s="568"/>
      <c r="D46" s="568"/>
      <c r="E46" s="568"/>
      <c r="F46" s="568"/>
      <c r="G46" s="568"/>
      <c r="H46" s="568"/>
      <c r="I46" s="566"/>
      <c r="J46" s="566"/>
      <c r="K46" s="566"/>
      <c r="L46" s="566"/>
    </row>
    <row r="47" spans="1:12">
      <c r="A47" s="567"/>
      <c r="B47" s="567"/>
      <c r="C47" s="566"/>
      <c r="D47" s="566"/>
      <c r="E47" s="566"/>
      <c r="F47" s="566"/>
      <c r="G47" s="566"/>
      <c r="H47" s="566"/>
      <c r="I47" s="566"/>
      <c r="J47" s="566"/>
      <c r="K47" s="566"/>
      <c r="L47" s="566"/>
    </row>
    <row r="48" spans="1:12">
      <c r="A48" s="567"/>
      <c r="B48" s="567"/>
      <c r="C48" s="566"/>
      <c r="D48" s="566"/>
      <c r="E48" s="566"/>
      <c r="F48" s="566"/>
      <c r="G48" s="566"/>
      <c r="H48" s="566"/>
      <c r="I48" s="566"/>
      <c r="J48" s="566"/>
      <c r="K48" s="566"/>
      <c r="L48" s="566"/>
    </row>
    <row r="49" spans="1:12">
      <c r="A49" s="567"/>
      <c r="B49" s="567"/>
      <c r="C49" s="566"/>
      <c r="D49" s="566"/>
      <c r="E49" s="566"/>
      <c r="F49" s="566"/>
      <c r="G49" s="566"/>
      <c r="H49" s="566"/>
      <c r="I49" s="566"/>
      <c r="J49" s="566"/>
      <c r="K49" s="566"/>
      <c r="L49" s="566"/>
    </row>
    <row r="50" spans="1:12">
      <c r="A50" s="567"/>
      <c r="B50" s="567"/>
      <c r="C50" s="566"/>
      <c r="D50" s="566"/>
      <c r="E50" s="566"/>
      <c r="F50" s="566"/>
      <c r="G50" s="566"/>
      <c r="H50" s="566"/>
      <c r="I50" s="566"/>
      <c r="J50" s="566"/>
      <c r="K50" s="566"/>
      <c r="L50" s="566"/>
    </row>
    <row r="51" spans="1:12">
      <c r="A51" s="567"/>
      <c r="B51" s="567"/>
      <c r="C51" s="566"/>
      <c r="D51" s="566"/>
      <c r="E51" s="566"/>
      <c r="F51" s="566"/>
      <c r="G51" s="566"/>
      <c r="H51" s="566"/>
      <c r="I51" s="566"/>
      <c r="J51" s="566"/>
      <c r="K51" s="566"/>
      <c r="L51" s="566"/>
    </row>
    <row r="52" spans="1:12">
      <c r="A52" s="567"/>
      <c r="B52" s="567"/>
      <c r="C52" s="566"/>
      <c r="D52" s="566"/>
      <c r="E52" s="566"/>
      <c r="F52" s="566"/>
      <c r="G52" s="566"/>
      <c r="H52" s="566"/>
      <c r="I52" s="566"/>
      <c r="J52" s="566"/>
      <c r="K52" s="566"/>
      <c r="L52" s="566"/>
    </row>
    <row r="53" spans="1:12">
      <c r="A53" s="567"/>
      <c r="B53" s="567"/>
      <c r="C53" s="566"/>
      <c r="D53" s="566"/>
      <c r="E53" s="566"/>
      <c r="F53" s="566"/>
      <c r="G53" s="566"/>
      <c r="H53" s="566"/>
      <c r="I53" s="566"/>
      <c r="J53" s="566"/>
      <c r="K53" s="566"/>
      <c r="L53" s="566"/>
    </row>
    <row r="54" spans="1:12">
      <c r="A54" s="567"/>
      <c r="B54" s="567"/>
      <c r="C54" s="566"/>
      <c r="D54" s="566"/>
      <c r="E54" s="566"/>
      <c r="F54" s="566"/>
      <c r="G54" s="566"/>
      <c r="H54" s="566"/>
      <c r="I54" s="566"/>
      <c r="J54" s="566"/>
      <c r="K54" s="566"/>
      <c r="L54" s="566"/>
    </row>
    <row r="55" spans="1:12">
      <c r="A55" s="567"/>
      <c r="B55" s="567"/>
      <c r="C55" s="566"/>
      <c r="D55" s="566"/>
      <c r="E55" s="566"/>
      <c r="F55" s="566"/>
      <c r="G55" s="566"/>
      <c r="H55" s="566"/>
      <c r="I55" s="566"/>
      <c r="J55" s="566"/>
      <c r="K55" s="566"/>
      <c r="L55" s="566"/>
    </row>
    <row r="56" spans="1:12">
      <c r="A56" s="567"/>
      <c r="B56" s="567"/>
      <c r="C56" s="566"/>
      <c r="D56" s="566"/>
      <c r="E56" s="566"/>
      <c r="F56" s="566"/>
      <c r="G56" s="566"/>
      <c r="H56" s="566"/>
      <c r="I56" s="566"/>
      <c r="J56" s="566"/>
      <c r="K56" s="566"/>
      <c r="L56" s="566"/>
    </row>
    <row r="57" spans="1:12">
      <c r="A57" s="567"/>
      <c r="B57" s="567"/>
      <c r="C57" s="566"/>
      <c r="D57" s="566"/>
      <c r="E57" s="566"/>
      <c r="F57" s="566"/>
      <c r="G57" s="566"/>
      <c r="H57" s="566"/>
      <c r="I57" s="566"/>
      <c r="J57" s="566"/>
      <c r="K57" s="566"/>
      <c r="L57" s="566"/>
    </row>
    <row r="58" spans="1:12">
      <c r="A58" s="567"/>
      <c r="B58" s="567"/>
      <c r="C58" s="566"/>
      <c r="D58" s="566"/>
      <c r="E58" s="566"/>
      <c r="F58" s="566"/>
      <c r="G58" s="566"/>
      <c r="H58" s="566"/>
      <c r="I58" s="566"/>
      <c r="J58" s="566"/>
      <c r="K58" s="566"/>
      <c r="L58" s="566"/>
    </row>
    <row r="59" spans="1:12">
      <c r="A59" s="567"/>
      <c r="B59" s="567"/>
      <c r="C59" s="566"/>
      <c r="D59" s="566"/>
      <c r="E59" s="566"/>
      <c r="F59" s="566"/>
      <c r="G59" s="566"/>
      <c r="H59" s="566"/>
      <c r="I59" s="566"/>
      <c r="J59" s="566"/>
      <c r="K59" s="566"/>
      <c r="L59" s="566"/>
    </row>
    <row r="60" spans="1:12">
      <c r="A60" s="567"/>
      <c r="B60" s="567"/>
      <c r="C60" s="566"/>
      <c r="D60" s="566"/>
      <c r="E60" s="566"/>
      <c r="F60" s="566"/>
      <c r="G60" s="566"/>
      <c r="H60" s="566"/>
      <c r="I60" s="566"/>
      <c r="J60" s="566"/>
      <c r="K60" s="566"/>
      <c r="L60" s="566"/>
    </row>
    <row r="61" spans="1:12">
      <c r="A61" s="567"/>
      <c r="B61" s="567"/>
      <c r="C61" s="566"/>
      <c r="D61" s="566"/>
      <c r="E61" s="566"/>
      <c r="F61" s="566"/>
      <c r="G61" s="566"/>
      <c r="H61" s="566"/>
      <c r="I61" s="566"/>
      <c r="J61" s="566"/>
      <c r="K61" s="566"/>
      <c r="L61" s="566"/>
    </row>
    <row r="62" spans="1:12">
      <c r="A62" s="567"/>
      <c r="B62" s="567"/>
      <c r="C62" s="566"/>
      <c r="D62" s="566"/>
      <c r="E62" s="566"/>
      <c r="F62" s="566"/>
      <c r="G62" s="566"/>
      <c r="H62" s="566"/>
      <c r="I62" s="566"/>
      <c r="J62" s="566"/>
      <c r="K62" s="566"/>
      <c r="L62" s="566"/>
    </row>
    <row r="63" spans="1:12">
      <c r="A63" s="567"/>
      <c r="B63" s="567"/>
      <c r="C63" s="566"/>
      <c r="D63" s="566"/>
      <c r="E63" s="566"/>
      <c r="F63" s="566"/>
      <c r="G63" s="566"/>
      <c r="H63" s="566"/>
      <c r="I63" s="566"/>
      <c r="J63" s="566"/>
      <c r="K63" s="566"/>
      <c r="L63" s="566"/>
    </row>
    <row r="64" spans="1:12">
      <c r="A64" s="567"/>
      <c r="B64" s="567"/>
      <c r="C64" s="566"/>
      <c r="D64" s="566"/>
      <c r="E64" s="566"/>
      <c r="F64" s="566"/>
      <c r="G64" s="566"/>
      <c r="H64" s="566"/>
      <c r="I64" s="566"/>
      <c r="J64" s="566"/>
      <c r="K64" s="566"/>
      <c r="L64" s="566"/>
    </row>
    <row r="65" spans="1:12">
      <c r="A65" s="567"/>
      <c r="B65" s="567"/>
      <c r="C65" s="566"/>
      <c r="D65" s="566"/>
      <c r="E65" s="566"/>
      <c r="F65" s="566"/>
      <c r="G65" s="566"/>
      <c r="H65" s="566"/>
      <c r="I65" s="566"/>
      <c r="J65" s="566"/>
      <c r="K65" s="566"/>
      <c r="L65" s="566"/>
    </row>
    <row r="66" spans="1:12">
      <c r="A66" s="567"/>
      <c r="B66" s="567"/>
      <c r="C66" s="566"/>
      <c r="D66" s="566"/>
      <c r="E66" s="566"/>
      <c r="F66" s="566"/>
      <c r="G66" s="566"/>
      <c r="H66" s="566"/>
      <c r="I66" s="566"/>
      <c r="J66" s="566"/>
      <c r="K66" s="566"/>
      <c r="L66" s="566"/>
    </row>
    <row r="67" spans="1:12">
      <c r="A67" s="567"/>
      <c r="B67" s="567"/>
      <c r="C67" s="566"/>
      <c r="D67" s="566"/>
      <c r="E67" s="566"/>
      <c r="F67" s="566"/>
      <c r="G67" s="566"/>
      <c r="H67" s="566"/>
      <c r="I67" s="566"/>
      <c r="J67" s="566"/>
      <c r="K67" s="566"/>
      <c r="L67" s="566"/>
    </row>
    <row r="68" spans="1:12">
      <c r="A68" s="567"/>
      <c r="B68" s="567"/>
      <c r="C68" s="566"/>
      <c r="D68" s="566"/>
      <c r="E68" s="566"/>
      <c r="F68" s="566"/>
      <c r="G68" s="566"/>
      <c r="H68" s="566"/>
      <c r="I68" s="566"/>
      <c r="J68" s="566"/>
      <c r="K68" s="566"/>
      <c r="L68" s="566"/>
    </row>
    <row r="69" spans="1:12">
      <c r="A69" s="567"/>
      <c r="B69" s="567"/>
      <c r="C69" s="566"/>
      <c r="D69" s="566"/>
      <c r="E69" s="566"/>
      <c r="F69" s="566"/>
      <c r="G69" s="566"/>
      <c r="H69" s="566"/>
      <c r="I69" s="566"/>
      <c r="J69" s="566"/>
      <c r="K69" s="566"/>
      <c r="L69" s="566"/>
    </row>
    <row r="70" spans="1:12">
      <c r="A70" s="567"/>
      <c r="B70" s="567"/>
      <c r="C70" s="566"/>
      <c r="D70" s="566"/>
      <c r="E70" s="566"/>
      <c r="F70" s="566"/>
      <c r="G70" s="566"/>
      <c r="H70" s="566"/>
      <c r="I70" s="566"/>
      <c r="J70" s="566"/>
      <c r="K70" s="566"/>
      <c r="L70" s="566"/>
    </row>
    <row r="71" spans="1:12">
      <c r="A71" s="567"/>
      <c r="B71" s="567"/>
      <c r="C71" s="566"/>
      <c r="D71" s="566"/>
      <c r="E71" s="566"/>
      <c r="F71" s="566"/>
      <c r="G71" s="566"/>
      <c r="H71" s="566"/>
      <c r="I71" s="566"/>
      <c r="J71" s="566"/>
      <c r="K71" s="566"/>
      <c r="L71" s="566"/>
    </row>
    <row r="72" spans="1:12">
      <c r="A72" s="567"/>
      <c r="B72" s="567"/>
      <c r="C72" s="566"/>
      <c r="D72" s="566"/>
      <c r="E72" s="566"/>
      <c r="F72" s="566"/>
      <c r="G72" s="566"/>
      <c r="H72" s="566"/>
      <c r="I72" s="566"/>
      <c r="J72" s="566"/>
      <c r="K72" s="566"/>
      <c r="L72" s="566"/>
    </row>
    <row r="73" spans="1:12">
      <c r="A73" s="567"/>
      <c r="B73" s="567"/>
      <c r="C73" s="566"/>
      <c r="D73" s="566"/>
      <c r="E73" s="566"/>
      <c r="F73" s="566"/>
      <c r="G73" s="566"/>
      <c r="H73" s="566"/>
      <c r="I73" s="566"/>
      <c r="J73" s="566"/>
      <c r="K73" s="566"/>
      <c r="L73" s="566"/>
    </row>
    <row r="74" spans="1:12">
      <c r="A74" s="567"/>
      <c r="B74" s="567"/>
      <c r="C74" s="566"/>
      <c r="D74" s="566"/>
      <c r="E74" s="566"/>
      <c r="F74" s="566"/>
      <c r="G74" s="566"/>
      <c r="H74" s="566"/>
      <c r="I74" s="566"/>
      <c r="J74" s="566"/>
      <c r="K74" s="566"/>
      <c r="L74" s="566"/>
    </row>
    <row r="75" spans="1:12">
      <c r="A75" s="567"/>
      <c r="B75" s="567"/>
      <c r="C75" s="566"/>
      <c r="D75" s="566"/>
      <c r="E75" s="566"/>
      <c r="F75" s="566"/>
      <c r="G75" s="566"/>
      <c r="H75" s="566"/>
      <c r="I75" s="566"/>
      <c r="J75" s="566"/>
      <c r="K75" s="566"/>
      <c r="L75" s="566"/>
    </row>
    <row r="76" spans="1:12">
      <c r="A76" s="567"/>
      <c r="B76" s="567"/>
      <c r="C76" s="566"/>
      <c r="D76" s="566"/>
      <c r="E76" s="566"/>
      <c r="F76" s="566"/>
      <c r="G76" s="566"/>
      <c r="H76" s="566"/>
      <c r="I76" s="566"/>
      <c r="J76" s="566"/>
      <c r="K76" s="566"/>
      <c r="L76" s="566"/>
    </row>
    <row r="77" spans="1:12">
      <c r="A77" s="567"/>
      <c r="B77" s="567"/>
      <c r="C77" s="566"/>
      <c r="D77" s="566"/>
      <c r="E77" s="566"/>
      <c r="F77" s="566"/>
      <c r="G77" s="566"/>
      <c r="H77" s="566"/>
      <c r="I77" s="566"/>
      <c r="J77" s="566"/>
      <c r="K77" s="566"/>
      <c r="L77" s="566"/>
    </row>
    <row r="78" spans="1:12">
      <c r="A78" s="567"/>
      <c r="B78" s="567"/>
      <c r="C78" s="566"/>
      <c r="D78" s="566"/>
      <c r="E78" s="566"/>
      <c r="F78" s="566"/>
      <c r="G78" s="566"/>
      <c r="H78" s="566"/>
      <c r="I78" s="566"/>
      <c r="J78" s="566"/>
      <c r="K78" s="566"/>
      <c r="L78" s="566"/>
    </row>
    <row r="79" spans="1:12">
      <c r="A79" s="567"/>
      <c r="B79" s="567"/>
      <c r="C79" s="566"/>
      <c r="D79" s="566"/>
      <c r="E79" s="566"/>
      <c r="F79" s="566"/>
      <c r="G79" s="566"/>
      <c r="H79" s="566"/>
      <c r="I79" s="566"/>
      <c r="J79" s="566"/>
      <c r="K79" s="566"/>
      <c r="L79" s="566"/>
    </row>
    <row r="80" spans="1:12">
      <c r="A80" s="567"/>
      <c r="B80" s="567"/>
      <c r="C80" s="566"/>
      <c r="D80" s="566"/>
      <c r="E80" s="566"/>
      <c r="F80" s="566"/>
      <c r="G80" s="566"/>
      <c r="H80" s="566"/>
      <c r="I80" s="566"/>
      <c r="J80" s="566"/>
      <c r="K80" s="566"/>
      <c r="L80" s="566"/>
    </row>
    <row r="81" spans="1:12">
      <c r="A81" s="567"/>
      <c r="B81" s="567"/>
      <c r="C81" s="566"/>
      <c r="D81" s="566"/>
      <c r="E81" s="566"/>
      <c r="F81" s="566"/>
      <c r="G81" s="566"/>
      <c r="H81" s="566"/>
      <c r="I81" s="566"/>
      <c r="J81" s="566"/>
      <c r="K81" s="566"/>
      <c r="L81" s="566"/>
    </row>
    <row r="82" spans="1:12">
      <c r="A82" s="567"/>
      <c r="B82" s="567"/>
      <c r="C82" s="566"/>
      <c r="D82" s="566"/>
      <c r="E82" s="566"/>
      <c r="F82" s="566"/>
      <c r="G82" s="566"/>
      <c r="H82" s="566"/>
      <c r="I82" s="566"/>
      <c r="J82" s="566"/>
      <c r="K82" s="566"/>
      <c r="L82" s="566"/>
    </row>
    <row r="83" spans="1:12">
      <c r="A83" s="567"/>
      <c r="B83" s="567"/>
      <c r="C83" s="566"/>
      <c r="D83" s="566"/>
      <c r="E83" s="566"/>
      <c r="F83" s="566"/>
      <c r="G83" s="566"/>
      <c r="H83" s="566"/>
      <c r="I83" s="566"/>
      <c r="J83" s="566"/>
      <c r="K83" s="566"/>
      <c r="L83" s="566"/>
    </row>
    <row r="84" spans="1:12">
      <c r="A84" s="567"/>
      <c r="B84" s="567"/>
      <c r="C84" s="566"/>
      <c r="D84" s="566"/>
      <c r="E84" s="566"/>
      <c r="F84" s="566"/>
      <c r="G84" s="566"/>
      <c r="H84" s="566"/>
      <c r="I84" s="566"/>
      <c r="J84" s="566"/>
      <c r="K84" s="566"/>
      <c r="L84" s="566"/>
    </row>
    <row r="85" spans="1:12">
      <c r="A85" s="567"/>
      <c r="B85" s="567"/>
      <c r="C85" s="566"/>
      <c r="D85" s="566"/>
      <c r="E85" s="566"/>
      <c r="F85" s="566"/>
      <c r="G85" s="566"/>
      <c r="H85" s="566"/>
      <c r="I85" s="566"/>
      <c r="J85" s="566"/>
      <c r="K85" s="566"/>
      <c r="L85" s="566"/>
    </row>
    <row r="86" spans="1:12">
      <c r="A86" s="567"/>
      <c r="B86" s="567"/>
      <c r="C86" s="566"/>
      <c r="D86" s="566"/>
      <c r="E86" s="566"/>
      <c r="F86" s="566"/>
      <c r="G86" s="566"/>
      <c r="H86" s="566"/>
      <c r="I86" s="566"/>
      <c r="J86" s="566"/>
      <c r="K86" s="566"/>
      <c r="L86" s="566"/>
    </row>
    <row r="87" spans="1:12">
      <c r="A87" s="567"/>
      <c r="B87" s="567"/>
      <c r="C87" s="566"/>
      <c r="D87" s="566"/>
      <c r="E87" s="566"/>
      <c r="F87" s="566"/>
      <c r="G87" s="566"/>
      <c r="H87" s="566"/>
      <c r="I87" s="566"/>
      <c r="J87" s="566"/>
      <c r="K87" s="566"/>
      <c r="L87" s="566"/>
    </row>
    <row r="88" spans="1:12">
      <c r="A88" s="567"/>
      <c r="B88" s="567"/>
      <c r="C88" s="566"/>
      <c r="D88" s="566"/>
      <c r="E88" s="566"/>
      <c r="F88" s="566"/>
      <c r="G88" s="566"/>
      <c r="H88" s="566"/>
      <c r="I88" s="566"/>
      <c r="J88" s="566"/>
      <c r="K88" s="566"/>
      <c r="L88" s="566"/>
    </row>
    <row r="89" spans="1:12">
      <c r="A89" s="567"/>
      <c r="B89" s="567"/>
      <c r="C89" s="566"/>
      <c r="D89" s="566"/>
      <c r="E89" s="566"/>
      <c r="F89" s="566"/>
      <c r="G89" s="566"/>
      <c r="H89" s="566"/>
      <c r="I89" s="566"/>
      <c r="J89" s="566"/>
      <c r="K89" s="566"/>
      <c r="L89" s="566"/>
    </row>
    <row r="90" spans="1:12">
      <c r="A90" s="567"/>
      <c r="B90" s="567"/>
      <c r="C90" s="566"/>
      <c r="D90" s="566"/>
      <c r="E90" s="566"/>
      <c r="F90" s="566"/>
      <c r="G90" s="566"/>
      <c r="H90" s="566"/>
      <c r="I90" s="566"/>
      <c r="J90" s="566"/>
      <c r="K90" s="566"/>
      <c r="L90" s="566"/>
    </row>
    <row r="91" spans="1:12">
      <c r="A91" s="567"/>
      <c r="B91" s="567"/>
      <c r="C91" s="566"/>
      <c r="D91" s="566"/>
      <c r="E91" s="566"/>
      <c r="F91" s="566"/>
      <c r="G91" s="566"/>
      <c r="H91" s="566"/>
      <c r="I91" s="566"/>
      <c r="J91" s="566"/>
      <c r="K91" s="566"/>
      <c r="L91" s="566"/>
    </row>
    <row r="92" spans="1:12">
      <c r="A92" s="567"/>
      <c r="B92" s="567"/>
      <c r="C92" s="566"/>
      <c r="D92" s="566"/>
      <c r="E92" s="566"/>
      <c r="F92" s="566"/>
      <c r="G92" s="566"/>
      <c r="H92" s="566"/>
      <c r="I92" s="566"/>
      <c r="J92" s="566"/>
      <c r="K92" s="566"/>
      <c r="L92" s="566"/>
    </row>
    <row r="93" spans="1:12">
      <c r="A93" s="567"/>
      <c r="B93" s="567"/>
      <c r="C93" s="566"/>
      <c r="D93" s="566"/>
      <c r="E93" s="566"/>
      <c r="F93" s="566"/>
      <c r="G93" s="566"/>
      <c r="H93" s="566"/>
      <c r="I93" s="566"/>
      <c r="J93" s="566"/>
      <c r="K93" s="566"/>
      <c r="L93" s="566"/>
    </row>
    <row r="94" spans="1:12">
      <c r="A94" s="567"/>
      <c r="B94" s="567"/>
      <c r="C94" s="566"/>
      <c r="D94" s="566"/>
      <c r="E94" s="566"/>
      <c r="F94" s="566"/>
      <c r="G94" s="566"/>
      <c r="H94" s="566"/>
      <c r="I94" s="566"/>
      <c r="J94" s="566"/>
      <c r="K94" s="566"/>
      <c r="L94" s="566"/>
    </row>
    <row r="95" spans="1:12">
      <c r="A95" s="567"/>
      <c r="B95" s="567"/>
      <c r="C95" s="566"/>
      <c r="D95" s="566"/>
      <c r="E95" s="566"/>
      <c r="F95" s="566"/>
      <c r="G95" s="566"/>
      <c r="H95" s="566"/>
      <c r="I95" s="566"/>
      <c r="J95" s="566"/>
      <c r="K95" s="566"/>
      <c r="L95" s="566"/>
    </row>
    <row r="96" spans="1:12">
      <c r="A96" s="567"/>
      <c r="B96" s="567"/>
      <c r="C96" s="566"/>
      <c r="D96" s="566"/>
      <c r="E96" s="566"/>
      <c r="F96" s="566"/>
      <c r="G96" s="566"/>
      <c r="H96" s="566"/>
      <c r="I96" s="566"/>
      <c r="J96" s="566"/>
      <c r="K96" s="566"/>
      <c r="L96" s="566"/>
    </row>
    <row r="97" spans="1:12">
      <c r="A97" s="567"/>
      <c r="B97" s="567"/>
      <c r="C97" s="566"/>
      <c r="D97" s="566"/>
      <c r="E97" s="566"/>
      <c r="F97" s="566"/>
      <c r="G97" s="566"/>
      <c r="H97" s="566"/>
      <c r="I97" s="566"/>
      <c r="J97" s="566"/>
      <c r="K97" s="566"/>
      <c r="L97" s="566"/>
    </row>
    <row r="98" spans="1:12">
      <c r="A98" s="567"/>
      <c r="B98" s="567"/>
      <c r="C98" s="566"/>
      <c r="D98" s="566"/>
      <c r="E98" s="566"/>
      <c r="F98" s="566"/>
      <c r="G98" s="566"/>
      <c r="H98" s="566"/>
      <c r="I98" s="566"/>
      <c r="J98" s="566"/>
      <c r="K98" s="566"/>
      <c r="L98" s="566"/>
    </row>
    <row r="99" spans="1:12">
      <c r="A99" s="567"/>
      <c r="B99" s="567"/>
      <c r="C99" s="566"/>
      <c r="D99" s="566"/>
      <c r="E99" s="566"/>
      <c r="F99" s="566"/>
      <c r="G99" s="566"/>
      <c r="H99" s="566"/>
      <c r="I99" s="566"/>
      <c r="J99" s="566"/>
      <c r="K99" s="566"/>
      <c r="L99" s="566"/>
    </row>
    <row r="100" spans="1:12">
      <c r="A100" s="567"/>
      <c r="B100" s="567"/>
      <c r="C100" s="566"/>
      <c r="D100" s="566"/>
      <c r="E100" s="566"/>
      <c r="F100" s="566"/>
      <c r="G100" s="566"/>
      <c r="H100" s="566"/>
      <c r="I100" s="566"/>
      <c r="J100" s="566"/>
      <c r="K100" s="566"/>
      <c r="L100" s="566"/>
    </row>
    <row r="101" spans="1:12">
      <c r="A101" s="567"/>
      <c r="B101" s="567"/>
      <c r="C101" s="566"/>
      <c r="D101" s="566"/>
      <c r="E101" s="566"/>
      <c r="F101" s="566"/>
      <c r="G101" s="566"/>
      <c r="H101" s="566"/>
      <c r="I101" s="566"/>
      <c r="J101" s="566"/>
      <c r="K101" s="566"/>
      <c r="L101" s="566"/>
    </row>
    <row r="102" spans="1:12">
      <c r="A102" s="567"/>
      <c r="B102" s="567"/>
      <c r="C102" s="566"/>
      <c r="D102" s="566"/>
      <c r="E102" s="566"/>
      <c r="F102" s="566"/>
      <c r="G102" s="566"/>
      <c r="H102" s="566"/>
      <c r="I102" s="566"/>
      <c r="J102" s="566"/>
      <c r="K102" s="566"/>
      <c r="L102" s="566"/>
    </row>
    <row r="103" spans="1:12">
      <c r="A103" s="567"/>
      <c r="B103" s="567"/>
      <c r="C103" s="566"/>
      <c r="D103" s="566"/>
      <c r="E103" s="566"/>
      <c r="F103" s="566"/>
      <c r="G103" s="566"/>
      <c r="H103" s="566"/>
      <c r="I103" s="566"/>
      <c r="J103" s="566"/>
      <c r="K103" s="566"/>
      <c r="L103" s="566"/>
    </row>
    <row r="104" spans="1:12">
      <c r="A104" s="567"/>
      <c r="B104" s="567"/>
      <c r="C104" s="566"/>
      <c r="D104" s="566"/>
      <c r="E104" s="566"/>
      <c r="F104" s="566"/>
      <c r="G104" s="566"/>
      <c r="H104" s="566"/>
      <c r="I104" s="566"/>
      <c r="J104" s="566"/>
      <c r="K104" s="566"/>
      <c r="L104" s="566"/>
    </row>
    <row r="105" spans="1:12">
      <c r="A105" s="567"/>
      <c r="B105" s="567"/>
      <c r="C105" s="566"/>
      <c r="D105" s="566"/>
      <c r="E105" s="566"/>
      <c r="F105" s="566"/>
      <c r="G105" s="566"/>
      <c r="H105" s="566"/>
      <c r="I105" s="566"/>
      <c r="J105" s="566"/>
      <c r="K105" s="566"/>
      <c r="L105" s="566"/>
    </row>
    <row r="106" spans="1:12">
      <c r="A106" s="567"/>
      <c r="B106" s="567"/>
      <c r="C106" s="566"/>
      <c r="D106" s="566"/>
      <c r="E106" s="566"/>
      <c r="F106" s="566"/>
      <c r="G106" s="566"/>
      <c r="H106" s="566"/>
      <c r="I106" s="566"/>
      <c r="J106" s="566"/>
      <c r="K106" s="566"/>
      <c r="L106" s="566"/>
    </row>
    <row r="107" spans="1:12">
      <c r="A107" s="567"/>
      <c r="B107" s="567"/>
      <c r="C107" s="566"/>
      <c r="D107" s="566"/>
      <c r="E107" s="566"/>
      <c r="F107" s="566"/>
      <c r="G107" s="566"/>
      <c r="H107" s="566"/>
      <c r="I107" s="566"/>
      <c r="J107" s="566"/>
      <c r="K107" s="566"/>
      <c r="L107" s="566"/>
    </row>
    <row r="108" spans="1:12">
      <c r="A108" s="567"/>
      <c r="B108" s="567"/>
      <c r="C108" s="566"/>
      <c r="D108" s="566"/>
      <c r="E108" s="566"/>
      <c r="F108" s="566"/>
      <c r="G108" s="566"/>
      <c r="H108" s="566"/>
      <c r="I108" s="566"/>
      <c r="J108" s="566"/>
      <c r="K108" s="566"/>
      <c r="L108" s="566"/>
    </row>
    <row r="109" spans="1:12">
      <c r="A109" s="567"/>
      <c r="B109" s="567"/>
      <c r="C109" s="566"/>
      <c r="D109" s="566"/>
      <c r="E109" s="566"/>
      <c r="F109" s="566"/>
      <c r="G109" s="566"/>
      <c r="H109" s="566"/>
      <c r="I109" s="566"/>
      <c r="J109" s="566"/>
      <c r="K109" s="566"/>
      <c r="L109" s="566"/>
    </row>
    <row r="110" spans="1:12">
      <c r="A110" s="567"/>
      <c r="B110" s="567"/>
      <c r="C110" s="566"/>
      <c r="D110" s="566"/>
      <c r="E110" s="566"/>
      <c r="F110" s="566"/>
      <c r="G110" s="566"/>
      <c r="H110" s="566"/>
      <c r="I110" s="566"/>
      <c r="J110" s="566"/>
      <c r="K110" s="566"/>
      <c r="L110" s="566"/>
    </row>
    <row r="111" spans="1:12">
      <c r="A111" s="567"/>
      <c r="B111" s="567"/>
      <c r="C111" s="566"/>
      <c r="D111" s="566"/>
      <c r="E111" s="566"/>
      <c r="F111" s="566"/>
      <c r="G111" s="566"/>
      <c r="H111" s="566"/>
      <c r="I111" s="566"/>
      <c r="J111" s="566"/>
      <c r="K111" s="566"/>
      <c r="L111" s="566"/>
    </row>
    <row r="112" spans="1:12">
      <c r="A112" s="567"/>
      <c r="B112" s="567"/>
      <c r="C112" s="566"/>
      <c r="D112" s="566"/>
      <c r="E112" s="566"/>
      <c r="F112" s="566"/>
      <c r="G112" s="566"/>
      <c r="H112" s="566"/>
      <c r="I112" s="566"/>
      <c r="J112" s="566"/>
      <c r="K112" s="566"/>
      <c r="L112" s="566"/>
    </row>
    <row r="113" spans="1:12">
      <c r="A113" s="567"/>
      <c r="B113" s="567"/>
      <c r="C113" s="566"/>
      <c r="D113" s="566"/>
      <c r="E113" s="566"/>
      <c r="F113" s="566"/>
      <c r="G113" s="566"/>
      <c r="H113" s="566"/>
      <c r="I113" s="566"/>
      <c r="J113" s="566"/>
      <c r="K113" s="566"/>
      <c r="L113" s="566"/>
    </row>
    <row r="114" spans="1:12">
      <c r="A114" s="567"/>
      <c r="B114" s="567"/>
      <c r="C114" s="566"/>
      <c r="D114" s="566"/>
      <c r="E114" s="566"/>
      <c r="F114" s="566"/>
      <c r="G114" s="566"/>
      <c r="H114" s="566"/>
      <c r="I114" s="566"/>
      <c r="J114" s="566"/>
      <c r="K114" s="566"/>
      <c r="L114" s="566"/>
    </row>
    <row r="115" spans="1:12">
      <c r="A115" s="567"/>
      <c r="B115" s="567"/>
      <c r="C115" s="566"/>
      <c r="D115" s="566"/>
      <c r="E115" s="566"/>
      <c r="F115" s="566"/>
      <c r="G115" s="566"/>
      <c r="H115" s="566"/>
      <c r="I115" s="566"/>
      <c r="J115" s="566"/>
      <c r="K115" s="566"/>
      <c r="L115" s="566"/>
    </row>
    <row r="116" spans="1:12">
      <c r="A116" s="567"/>
      <c r="B116" s="567"/>
      <c r="C116" s="566"/>
      <c r="D116" s="566"/>
      <c r="E116" s="566"/>
      <c r="F116" s="566"/>
      <c r="G116" s="566"/>
      <c r="H116" s="566"/>
      <c r="I116" s="566"/>
      <c r="J116" s="566"/>
      <c r="K116" s="566"/>
      <c r="L116" s="566"/>
    </row>
    <row r="117" spans="1:12">
      <c r="A117" s="567"/>
      <c r="B117" s="567"/>
      <c r="C117" s="566"/>
      <c r="D117" s="566"/>
      <c r="E117" s="566"/>
      <c r="F117" s="566"/>
      <c r="G117" s="566"/>
      <c r="H117" s="566"/>
      <c r="I117" s="566"/>
      <c r="J117" s="566"/>
      <c r="K117" s="566"/>
      <c r="L117" s="566"/>
    </row>
    <row r="118" spans="1:12">
      <c r="A118" s="567"/>
      <c r="B118" s="567"/>
      <c r="C118" s="566"/>
      <c r="D118" s="566"/>
      <c r="E118" s="566"/>
      <c r="F118" s="566"/>
      <c r="G118" s="566"/>
      <c r="H118" s="566"/>
      <c r="I118" s="566"/>
      <c r="J118" s="566"/>
      <c r="K118" s="566"/>
      <c r="L118" s="566"/>
    </row>
    <row r="119" spans="1:12">
      <c r="A119" s="567"/>
      <c r="B119" s="567"/>
      <c r="C119" s="566"/>
      <c r="D119" s="566"/>
      <c r="E119" s="566"/>
      <c r="F119" s="566"/>
      <c r="G119" s="566"/>
      <c r="H119" s="566"/>
      <c r="I119" s="566"/>
      <c r="J119" s="566"/>
      <c r="K119" s="566"/>
      <c r="L119" s="566"/>
    </row>
    <row r="120" spans="1:12">
      <c r="A120" s="567"/>
      <c r="B120" s="567"/>
      <c r="C120" s="566"/>
      <c r="D120" s="566"/>
      <c r="E120" s="566"/>
      <c r="F120" s="566"/>
      <c r="G120" s="566"/>
      <c r="H120" s="566"/>
      <c r="I120" s="566"/>
      <c r="J120" s="566"/>
      <c r="K120" s="566"/>
      <c r="L120" s="566"/>
    </row>
    <row r="121" spans="1:12">
      <c r="A121" s="567"/>
      <c r="B121" s="567"/>
      <c r="C121" s="566"/>
      <c r="D121" s="566"/>
      <c r="E121" s="566"/>
      <c r="F121" s="566"/>
      <c r="G121" s="566"/>
      <c r="H121" s="566"/>
      <c r="I121" s="566"/>
      <c r="J121" s="566"/>
      <c r="K121" s="566"/>
      <c r="L121" s="566"/>
    </row>
    <row r="122" spans="1:12">
      <c r="A122" s="567"/>
      <c r="B122" s="567"/>
      <c r="C122" s="566"/>
      <c r="D122" s="566"/>
      <c r="E122" s="566"/>
      <c r="F122" s="566"/>
      <c r="G122" s="566"/>
      <c r="H122" s="566"/>
      <c r="I122" s="566"/>
      <c r="J122" s="566"/>
      <c r="K122" s="566"/>
      <c r="L122" s="566"/>
    </row>
    <row r="123" spans="1:12">
      <c r="A123" s="567"/>
      <c r="B123" s="567"/>
      <c r="C123" s="566"/>
      <c r="D123" s="566"/>
      <c r="E123" s="566"/>
      <c r="F123" s="566"/>
      <c r="G123" s="566"/>
      <c r="H123" s="566"/>
      <c r="I123" s="566"/>
      <c r="J123" s="566"/>
      <c r="K123" s="566"/>
      <c r="L123" s="566"/>
    </row>
    <row r="124" spans="1:12">
      <c r="A124" s="567"/>
      <c r="B124" s="567"/>
      <c r="C124" s="566"/>
      <c r="D124" s="566"/>
      <c r="E124" s="566"/>
      <c r="F124" s="566"/>
      <c r="G124" s="566"/>
      <c r="H124" s="566"/>
      <c r="I124" s="566"/>
      <c r="J124" s="566"/>
      <c r="K124" s="566"/>
      <c r="L124" s="566"/>
    </row>
    <row r="125" spans="1:12">
      <c r="A125" s="567"/>
      <c r="B125" s="567"/>
      <c r="C125" s="566"/>
      <c r="D125" s="566"/>
      <c r="E125" s="566"/>
      <c r="F125" s="566"/>
      <c r="G125" s="566"/>
      <c r="H125" s="566"/>
      <c r="I125" s="566"/>
      <c r="J125" s="566"/>
      <c r="K125" s="566"/>
      <c r="L125" s="566"/>
    </row>
    <row r="126" spans="1:12">
      <c r="A126" s="567"/>
      <c r="B126" s="567"/>
      <c r="C126" s="566"/>
      <c r="D126" s="566"/>
      <c r="E126" s="566"/>
      <c r="F126" s="566"/>
      <c r="G126" s="566"/>
      <c r="H126" s="566"/>
      <c r="I126" s="566"/>
      <c r="J126" s="566"/>
      <c r="K126" s="566"/>
      <c r="L126" s="566"/>
    </row>
    <row r="127" spans="1:12">
      <c r="A127" s="567"/>
      <c r="B127" s="567"/>
      <c r="C127" s="566"/>
      <c r="D127" s="566"/>
      <c r="E127" s="566"/>
      <c r="F127" s="566"/>
      <c r="G127" s="566"/>
      <c r="H127" s="566"/>
      <c r="I127" s="566"/>
      <c r="J127" s="566"/>
      <c r="K127" s="566"/>
      <c r="L127" s="566"/>
    </row>
    <row r="128" spans="1:12">
      <c r="A128" s="567"/>
      <c r="B128" s="567"/>
      <c r="C128" s="566"/>
      <c r="D128" s="566"/>
      <c r="E128" s="566"/>
      <c r="F128" s="566"/>
      <c r="G128" s="566"/>
      <c r="H128" s="566"/>
      <c r="I128" s="566"/>
      <c r="J128" s="566"/>
      <c r="K128" s="566"/>
      <c r="L128" s="566"/>
    </row>
    <row r="129" spans="1:12">
      <c r="A129" s="567"/>
      <c r="B129" s="567"/>
      <c r="C129" s="566"/>
      <c r="D129" s="566"/>
      <c r="E129" s="566"/>
      <c r="F129" s="566"/>
      <c r="G129" s="566"/>
      <c r="H129" s="566"/>
      <c r="I129" s="566"/>
      <c r="J129" s="566"/>
      <c r="K129" s="566"/>
      <c r="L129" s="566"/>
    </row>
    <row r="130" spans="1:12">
      <c r="A130" s="567"/>
      <c r="B130" s="567"/>
      <c r="C130" s="566"/>
      <c r="D130" s="566"/>
      <c r="E130" s="566"/>
      <c r="F130" s="566"/>
      <c r="G130" s="566"/>
      <c r="H130" s="566"/>
      <c r="I130" s="566"/>
      <c r="J130" s="566"/>
      <c r="K130" s="566"/>
      <c r="L130" s="566"/>
    </row>
    <row r="131" spans="1:12">
      <c r="A131" s="567"/>
      <c r="B131" s="567"/>
      <c r="C131" s="566"/>
      <c r="D131" s="566"/>
      <c r="E131" s="566"/>
      <c r="F131" s="566"/>
      <c r="G131" s="566"/>
      <c r="H131" s="566"/>
      <c r="I131" s="566"/>
      <c r="J131" s="566"/>
      <c r="K131" s="566"/>
      <c r="L131" s="566"/>
    </row>
    <row r="132" spans="1:12">
      <c r="A132" s="567"/>
      <c r="B132" s="567"/>
      <c r="C132" s="566"/>
      <c r="D132" s="566"/>
      <c r="E132" s="566"/>
      <c r="F132" s="566"/>
      <c r="G132" s="566"/>
      <c r="H132" s="566"/>
      <c r="I132" s="566"/>
      <c r="J132" s="566"/>
      <c r="K132" s="566"/>
      <c r="L132" s="566"/>
    </row>
    <row r="133" spans="1:12">
      <c r="A133" s="567"/>
      <c r="B133" s="567"/>
      <c r="C133" s="566"/>
      <c r="D133" s="566"/>
      <c r="E133" s="566"/>
      <c r="F133" s="566"/>
      <c r="G133" s="566"/>
      <c r="H133" s="566"/>
      <c r="I133" s="566"/>
      <c r="J133" s="566"/>
      <c r="K133" s="566"/>
      <c r="L133" s="566"/>
    </row>
    <row r="134" spans="1:12">
      <c r="A134" s="567"/>
      <c r="B134" s="567"/>
      <c r="C134" s="566"/>
      <c r="D134" s="566"/>
      <c r="E134" s="566"/>
      <c r="F134" s="566"/>
      <c r="G134" s="566"/>
      <c r="H134" s="566"/>
      <c r="I134" s="566"/>
      <c r="J134" s="566"/>
      <c r="K134" s="566"/>
      <c r="L134" s="566"/>
    </row>
    <row r="135" spans="1:12">
      <c r="A135" s="567"/>
      <c r="B135" s="567"/>
      <c r="C135" s="566"/>
      <c r="D135" s="566"/>
      <c r="E135" s="566"/>
      <c r="F135" s="566"/>
      <c r="G135" s="566"/>
      <c r="H135" s="566"/>
      <c r="I135" s="566"/>
      <c r="J135" s="566"/>
      <c r="K135" s="566"/>
      <c r="L135" s="566"/>
    </row>
    <row r="136" spans="1:12">
      <c r="A136" s="567"/>
      <c r="B136" s="567"/>
      <c r="C136" s="566"/>
      <c r="D136" s="566"/>
      <c r="E136" s="566"/>
      <c r="F136" s="566"/>
      <c r="G136" s="566"/>
      <c r="H136" s="566"/>
      <c r="I136" s="566"/>
      <c r="J136" s="566"/>
      <c r="K136" s="566"/>
      <c r="L136" s="566"/>
    </row>
    <row r="137" spans="1:12">
      <c r="A137" s="567"/>
      <c r="B137" s="567"/>
      <c r="C137" s="566"/>
      <c r="D137" s="566"/>
      <c r="E137" s="566"/>
      <c r="F137" s="566"/>
      <c r="G137" s="566"/>
      <c r="H137" s="566"/>
      <c r="I137" s="566"/>
      <c r="J137" s="566"/>
      <c r="K137" s="566"/>
      <c r="L137" s="566"/>
    </row>
    <row r="138" spans="1:12">
      <c r="A138" s="567"/>
      <c r="B138" s="567"/>
      <c r="C138" s="566"/>
      <c r="D138" s="566"/>
      <c r="E138" s="566"/>
      <c r="F138" s="566"/>
      <c r="G138" s="566"/>
      <c r="H138" s="566"/>
      <c r="I138" s="566"/>
      <c r="J138" s="566"/>
      <c r="K138" s="566"/>
      <c r="L138" s="566"/>
    </row>
    <row r="139" spans="1:12">
      <c r="A139" s="567"/>
      <c r="B139" s="567"/>
      <c r="C139" s="566"/>
      <c r="D139" s="566"/>
      <c r="E139" s="566"/>
      <c r="F139" s="566"/>
      <c r="G139" s="566"/>
      <c r="H139" s="566"/>
      <c r="I139" s="566"/>
      <c r="J139" s="566"/>
      <c r="K139" s="566"/>
      <c r="L139" s="566"/>
    </row>
    <row r="140" spans="1:12">
      <c r="A140" s="567"/>
      <c r="B140" s="567"/>
      <c r="C140" s="566"/>
      <c r="D140" s="566"/>
      <c r="E140" s="566"/>
      <c r="F140" s="566"/>
      <c r="G140" s="566"/>
      <c r="H140" s="566"/>
      <c r="I140" s="566"/>
      <c r="J140" s="566"/>
      <c r="K140" s="566"/>
      <c r="L140" s="566"/>
    </row>
    <row r="141" spans="1:12">
      <c r="A141" s="567"/>
      <c r="B141" s="567"/>
      <c r="C141" s="566"/>
      <c r="D141" s="566"/>
      <c r="E141" s="566"/>
      <c r="F141" s="566"/>
      <c r="G141" s="566"/>
      <c r="H141" s="566"/>
      <c r="I141" s="566"/>
      <c r="J141" s="566"/>
      <c r="K141" s="566"/>
      <c r="L141" s="566"/>
    </row>
    <row r="142" spans="1:12">
      <c r="A142" s="567"/>
      <c r="B142" s="567"/>
      <c r="C142" s="566"/>
      <c r="D142" s="566"/>
      <c r="E142" s="566"/>
      <c r="F142" s="566"/>
      <c r="G142" s="566"/>
      <c r="H142" s="566"/>
      <c r="I142" s="566"/>
      <c r="J142" s="566"/>
      <c r="K142" s="566"/>
      <c r="L142" s="566"/>
    </row>
    <row r="143" spans="1:12">
      <c r="A143" s="567"/>
      <c r="B143" s="567"/>
      <c r="C143" s="566"/>
      <c r="D143" s="566"/>
      <c r="E143" s="566"/>
      <c r="F143" s="566"/>
      <c r="G143" s="566"/>
      <c r="H143" s="566"/>
      <c r="I143" s="566"/>
      <c r="J143" s="566"/>
      <c r="K143" s="566"/>
      <c r="L143" s="566"/>
    </row>
    <row r="144" spans="1:12">
      <c r="A144" s="567"/>
      <c r="B144" s="567"/>
      <c r="C144" s="566"/>
      <c r="D144" s="566"/>
      <c r="E144" s="566"/>
      <c r="F144" s="566"/>
      <c r="G144" s="566"/>
      <c r="H144" s="566"/>
      <c r="I144" s="566"/>
      <c r="J144" s="566"/>
      <c r="K144" s="566"/>
      <c r="L144" s="566"/>
    </row>
    <row r="145" spans="1:12">
      <c r="A145" s="567"/>
      <c r="B145" s="567"/>
      <c r="C145" s="566"/>
      <c r="D145" s="566"/>
      <c r="E145" s="566"/>
      <c r="F145" s="566"/>
      <c r="G145" s="566"/>
      <c r="H145" s="566"/>
      <c r="I145" s="566"/>
      <c r="J145" s="566"/>
      <c r="K145" s="566"/>
      <c r="L145" s="566"/>
    </row>
    <row r="146" spans="1:12">
      <c r="A146" s="567"/>
      <c r="B146" s="567"/>
      <c r="C146" s="566"/>
      <c r="D146" s="566"/>
      <c r="E146" s="566"/>
      <c r="F146" s="566"/>
      <c r="G146" s="566"/>
      <c r="H146" s="566"/>
      <c r="I146" s="566"/>
      <c r="J146" s="566"/>
      <c r="K146" s="566"/>
      <c r="L146" s="566"/>
    </row>
    <row r="147" spans="1:12">
      <c r="A147" s="567"/>
      <c r="B147" s="567"/>
      <c r="C147" s="566"/>
      <c r="D147" s="566"/>
      <c r="E147" s="566"/>
      <c r="F147" s="566"/>
      <c r="G147" s="566"/>
      <c r="H147" s="566"/>
      <c r="I147" s="566"/>
      <c r="J147" s="566"/>
      <c r="K147" s="566"/>
      <c r="L147" s="566"/>
    </row>
    <row r="148" spans="1:12">
      <c r="A148" s="567"/>
      <c r="B148" s="567"/>
      <c r="C148" s="566"/>
      <c r="D148" s="566"/>
      <c r="E148" s="566"/>
      <c r="F148" s="566"/>
      <c r="G148" s="566"/>
      <c r="H148" s="566"/>
      <c r="I148" s="566"/>
      <c r="J148" s="566"/>
      <c r="K148" s="566"/>
      <c r="L148" s="566"/>
    </row>
    <row r="149" spans="1:12">
      <c r="A149" s="567"/>
      <c r="B149" s="567"/>
      <c r="C149" s="566"/>
      <c r="D149" s="566"/>
      <c r="E149" s="566"/>
      <c r="F149" s="566"/>
      <c r="G149" s="566"/>
      <c r="H149" s="566"/>
      <c r="I149" s="566"/>
      <c r="J149" s="566"/>
      <c r="K149" s="566"/>
      <c r="L149" s="566"/>
    </row>
    <row r="150" spans="1:12">
      <c r="A150" s="567"/>
      <c r="B150" s="567"/>
      <c r="C150" s="566"/>
      <c r="D150" s="566"/>
      <c r="E150" s="566"/>
      <c r="F150" s="566"/>
      <c r="G150" s="566"/>
      <c r="H150" s="566"/>
      <c r="I150" s="566"/>
      <c r="J150" s="566"/>
      <c r="K150" s="566"/>
      <c r="L150" s="566"/>
    </row>
    <row r="151" spans="1:12">
      <c r="A151" s="567"/>
      <c r="B151" s="567"/>
      <c r="C151" s="566"/>
      <c r="D151" s="566"/>
      <c r="E151" s="566"/>
      <c r="F151" s="566"/>
      <c r="G151" s="566"/>
      <c r="H151" s="566"/>
      <c r="I151" s="566"/>
      <c r="J151" s="566"/>
      <c r="K151" s="566"/>
      <c r="L151" s="566"/>
    </row>
    <row r="152" spans="1:12">
      <c r="A152" s="567"/>
      <c r="B152" s="567"/>
      <c r="C152" s="566"/>
      <c r="D152" s="566"/>
      <c r="E152" s="566"/>
      <c r="F152" s="566"/>
      <c r="G152" s="566"/>
      <c r="H152" s="566"/>
      <c r="I152" s="566"/>
      <c r="J152" s="566"/>
      <c r="K152" s="566"/>
      <c r="L152" s="566"/>
    </row>
    <row r="153" spans="1:12">
      <c r="A153" s="567"/>
      <c r="B153" s="567"/>
      <c r="C153" s="566"/>
      <c r="D153" s="566"/>
      <c r="E153" s="566"/>
      <c r="F153" s="566"/>
      <c r="G153" s="566"/>
      <c r="H153" s="566"/>
      <c r="I153" s="566"/>
      <c r="J153" s="566"/>
      <c r="K153" s="566"/>
      <c r="L153" s="566"/>
    </row>
    <row r="154" spans="1:12">
      <c r="A154" s="567"/>
      <c r="B154" s="567"/>
      <c r="C154" s="566"/>
      <c r="D154" s="566"/>
      <c r="E154" s="566"/>
      <c r="F154" s="566"/>
      <c r="G154" s="566"/>
      <c r="H154" s="566"/>
      <c r="I154" s="566"/>
      <c r="J154" s="566"/>
      <c r="K154" s="566"/>
      <c r="L154" s="566"/>
    </row>
    <row r="155" spans="1:12">
      <c r="A155" s="567"/>
      <c r="B155" s="567"/>
      <c r="C155" s="566"/>
      <c r="D155" s="566"/>
      <c r="E155" s="566"/>
      <c r="F155" s="566"/>
      <c r="G155" s="566"/>
      <c r="H155" s="566"/>
      <c r="I155" s="566"/>
      <c r="J155" s="566"/>
      <c r="K155" s="566"/>
      <c r="L155" s="566"/>
    </row>
    <row r="156" spans="1:12">
      <c r="A156" s="567"/>
      <c r="B156" s="567"/>
      <c r="C156" s="566"/>
      <c r="D156" s="566"/>
      <c r="E156" s="566"/>
      <c r="F156" s="566"/>
      <c r="G156" s="566"/>
      <c r="H156" s="566"/>
      <c r="I156" s="566"/>
      <c r="J156" s="566"/>
      <c r="K156" s="566"/>
      <c r="L156" s="566"/>
    </row>
    <row r="157" spans="1:12">
      <c r="A157" s="567"/>
      <c r="B157" s="567"/>
      <c r="C157" s="566"/>
      <c r="D157" s="566"/>
      <c r="E157" s="566"/>
      <c r="F157" s="566"/>
      <c r="G157" s="566"/>
      <c r="H157" s="566"/>
      <c r="I157" s="566"/>
      <c r="J157" s="566"/>
      <c r="K157" s="566"/>
      <c r="L157" s="566"/>
    </row>
    <row r="158" spans="1:12">
      <c r="A158" s="567"/>
      <c r="B158" s="567"/>
      <c r="C158" s="566"/>
      <c r="D158" s="566"/>
      <c r="E158" s="566"/>
      <c r="F158" s="566"/>
      <c r="G158" s="566"/>
      <c r="H158" s="566"/>
      <c r="I158" s="566"/>
      <c r="J158" s="566"/>
      <c r="K158" s="566"/>
      <c r="L158" s="566"/>
    </row>
    <row r="159" spans="1:12">
      <c r="A159" s="567"/>
      <c r="B159" s="567"/>
      <c r="C159" s="566"/>
      <c r="D159" s="566"/>
      <c r="E159" s="566"/>
      <c r="F159" s="566"/>
      <c r="G159" s="566"/>
      <c r="H159" s="566"/>
      <c r="I159" s="566"/>
      <c r="J159" s="566"/>
      <c r="K159" s="566"/>
      <c r="L159" s="566"/>
    </row>
    <row r="160" spans="1:12">
      <c r="A160" s="567"/>
      <c r="B160" s="567"/>
      <c r="C160" s="566"/>
      <c r="D160" s="566"/>
      <c r="E160" s="566"/>
      <c r="F160" s="566"/>
      <c r="G160" s="566"/>
      <c r="H160" s="566"/>
      <c r="I160" s="566"/>
      <c r="J160" s="566"/>
      <c r="K160" s="566"/>
      <c r="L160" s="566"/>
    </row>
    <row r="161" spans="1:12">
      <c r="A161" s="567"/>
      <c r="B161" s="567"/>
      <c r="C161" s="566"/>
      <c r="D161" s="566"/>
      <c r="E161" s="566"/>
      <c r="F161" s="566"/>
      <c r="G161" s="566"/>
      <c r="H161" s="566"/>
      <c r="I161" s="566"/>
      <c r="J161" s="566"/>
      <c r="K161" s="566"/>
      <c r="L161" s="566"/>
    </row>
    <row r="162" spans="1:12">
      <c r="A162" s="567"/>
      <c r="B162" s="567"/>
      <c r="C162" s="566"/>
      <c r="D162" s="566"/>
      <c r="E162" s="566"/>
      <c r="F162" s="566"/>
      <c r="G162" s="566"/>
      <c r="H162" s="566"/>
      <c r="I162" s="566"/>
      <c r="J162" s="566"/>
      <c r="K162" s="566"/>
      <c r="L162" s="566"/>
    </row>
    <row r="163" spans="1:12">
      <c r="A163" s="567"/>
      <c r="B163" s="567"/>
      <c r="C163" s="566"/>
      <c r="D163" s="566"/>
      <c r="E163" s="566"/>
      <c r="F163" s="566"/>
      <c r="G163" s="566"/>
      <c r="H163" s="566"/>
      <c r="I163" s="566"/>
      <c r="J163" s="566"/>
      <c r="K163" s="566"/>
      <c r="L163" s="566"/>
    </row>
    <row r="164" spans="1:12">
      <c r="A164" s="567"/>
      <c r="B164" s="567"/>
      <c r="C164" s="566"/>
      <c r="D164" s="566"/>
      <c r="E164" s="566"/>
      <c r="F164" s="566"/>
      <c r="G164" s="566"/>
      <c r="H164" s="566"/>
      <c r="I164" s="566"/>
      <c r="J164" s="566"/>
      <c r="K164" s="566"/>
      <c r="L164" s="566"/>
    </row>
    <row r="165" spans="1:12">
      <c r="A165" s="567"/>
      <c r="B165" s="567"/>
      <c r="C165" s="566"/>
      <c r="D165" s="566"/>
      <c r="E165" s="566"/>
      <c r="F165" s="566"/>
      <c r="G165" s="566"/>
      <c r="H165" s="566"/>
      <c r="I165" s="566"/>
      <c r="J165" s="566"/>
      <c r="K165" s="566"/>
      <c r="L165" s="566"/>
    </row>
    <row r="166" spans="1:12">
      <c r="A166" s="567"/>
      <c r="B166" s="567"/>
      <c r="C166" s="566"/>
      <c r="D166" s="566"/>
      <c r="E166" s="566"/>
      <c r="F166" s="566"/>
      <c r="G166" s="566"/>
      <c r="H166" s="566"/>
      <c r="I166" s="566"/>
      <c r="J166" s="566"/>
      <c r="K166" s="566"/>
      <c r="L166" s="566"/>
    </row>
    <row r="167" spans="1:12">
      <c r="A167" s="567"/>
      <c r="B167" s="567"/>
      <c r="C167" s="566"/>
      <c r="D167" s="566"/>
      <c r="E167" s="566"/>
      <c r="F167" s="566"/>
      <c r="G167" s="566"/>
      <c r="H167" s="566"/>
      <c r="I167" s="566"/>
      <c r="J167" s="566"/>
      <c r="K167" s="566"/>
      <c r="L167" s="566"/>
    </row>
    <row r="168" spans="1:12">
      <c r="A168" s="567"/>
      <c r="B168" s="567"/>
      <c r="C168" s="566"/>
      <c r="D168" s="566"/>
      <c r="E168" s="566"/>
      <c r="F168" s="566"/>
      <c r="G168" s="566"/>
      <c r="H168" s="566"/>
      <c r="I168" s="566"/>
      <c r="J168" s="566"/>
      <c r="K168" s="566"/>
      <c r="L168" s="566"/>
    </row>
    <row r="169" spans="1:12">
      <c r="A169" s="567"/>
      <c r="B169" s="567"/>
      <c r="C169" s="566"/>
      <c r="D169" s="566"/>
      <c r="E169" s="566"/>
      <c r="F169" s="566"/>
      <c r="G169" s="566"/>
      <c r="H169" s="566"/>
      <c r="I169" s="566"/>
      <c r="J169" s="566"/>
      <c r="K169" s="566"/>
      <c r="L169" s="566"/>
    </row>
    <row r="170" spans="1:12">
      <c r="A170" s="567"/>
      <c r="B170" s="567"/>
      <c r="C170" s="566"/>
      <c r="D170" s="566"/>
      <c r="E170" s="566"/>
      <c r="F170" s="566"/>
      <c r="G170" s="566"/>
      <c r="H170" s="566"/>
      <c r="I170" s="566"/>
      <c r="J170" s="566"/>
      <c r="K170" s="566"/>
      <c r="L170" s="566"/>
    </row>
    <row r="171" spans="1:12">
      <c r="A171" s="567"/>
      <c r="B171" s="567"/>
      <c r="C171" s="566"/>
      <c r="D171" s="566"/>
      <c r="E171" s="566"/>
      <c r="F171" s="566"/>
      <c r="G171" s="566"/>
      <c r="H171" s="566"/>
      <c r="I171" s="566"/>
      <c r="J171" s="566"/>
      <c r="K171" s="566"/>
      <c r="L171" s="566"/>
    </row>
    <row r="172" spans="1:12">
      <c r="A172" s="567"/>
      <c r="B172" s="567"/>
      <c r="C172" s="566"/>
      <c r="D172" s="566"/>
      <c r="E172" s="566"/>
      <c r="F172" s="566"/>
      <c r="G172" s="566"/>
      <c r="H172" s="566"/>
      <c r="I172" s="566"/>
      <c r="J172" s="566"/>
      <c r="K172" s="566"/>
      <c r="L172" s="566"/>
    </row>
    <row r="173" spans="1:12">
      <c r="A173" s="567"/>
      <c r="B173" s="567"/>
      <c r="C173" s="566"/>
      <c r="D173" s="566"/>
      <c r="E173" s="566"/>
      <c r="F173" s="566"/>
      <c r="G173" s="566"/>
      <c r="H173" s="566"/>
      <c r="I173" s="566"/>
      <c r="J173" s="566"/>
      <c r="K173" s="566"/>
      <c r="L173" s="566"/>
    </row>
    <row r="174" spans="1:12">
      <c r="A174" s="567"/>
      <c r="B174" s="567"/>
      <c r="C174" s="566"/>
      <c r="D174" s="566"/>
      <c r="E174" s="566"/>
      <c r="F174" s="566"/>
      <c r="G174" s="566"/>
      <c r="H174" s="566"/>
      <c r="I174" s="566"/>
      <c r="J174" s="566"/>
      <c r="K174" s="566"/>
      <c r="L174" s="566"/>
    </row>
    <row r="175" spans="1:12">
      <c r="A175" s="567"/>
      <c r="B175" s="567"/>
      <c r="C175" s="566"/>
      <c r="D175" s="566"/>
      <c r="E175" s="566"/>
      <c r="F175" s="566"/>
      <c r="G175" s="566"/>
      <c r="H175" s="566"/>
      <c r="I175" s="566"/>
      <c r="J175" s="566"/>
      <c r="K175" s="566"/>
      <c r="L175" s="566"/>
    </row>
    <row r="176" spans="1:12">
      <c r="A176" s="567"/>
      <c r="B176" s="567"/>
      <c r="C176" s="566"/>
      <c r="D176" s="566"/>
      <c r="E176" s="566"/>
      <c r="F176" s="566"/>
      <c r="G176" s="566"/>
      <c r="H176" s="566"/>
      <c r="I176" s="566"/>
      <c r="J176" s="566"/>
      <c r="K176" s="566"/>
      <c r="L176" s="566"/>
    </row>
    <row r="177" spans="1:12">
      <c r="A177" s="567"/>
      <c r="B177" s="567"/>
      <c r="C177" s="566"/>
      <c r="D177" s="566"/>
      <c r="E177" s="566"/>
      <c r="F177" s="566"/>
      <c r="G177" s="566"/>
      <c r="H177" s="566"/>
      <c r="I177" s="566"/>
      <c r="J177" s="566"/>
      <c r="K177" s="566"/>
      <c r="L177" s="566"/>
    </row>
    <row r="178" spans="1:12">
      <c r="A178" s="567"/>
      <c r="B178" s="567"/>
      <c r="C178" s="566"/>
      <c r="D178" s="566"/>
      <c r="E178" s="566"/>
      <c r="F178" s="566"/>
      <c r="G178" s="566"/>
      <c r="H178" s="566"/>
      <c r="I178" s="566"/>
      <c r="J178" s="566"/>
      <c r="K178" s="566"/>
      <c r="L178" s="566"/>
    </row>
    <row r="179" spans="1:12">
      <c r="A179" s="567"/>
      <c r="B179" s="567"/>
      <c r="C179" s="566"/>
      <c r="D179" s="566"/>
      <c r="E179" s="566"/>
      <c r="F179" s="566"/>
      <c r="G179" s="566"/>
      <c r="H179" s="566"/>
      <c r="I179" s="566"/>
      <c r="J179" s="566"/>
      <c r="K179" s="566"/>
      <c r="L179" s="566"/>
    </row>
    <row r="180" spans="1:12">
      <c r="A180" s="567"/>
      <c r="B180" s="567"/>
      <c r="C180" s="566"/>
      <c r="D180" s="566"/>
      <c r="E180" s="566"/>
      <c r="F180" s="566"/>
      <c r="G180" s="566"/>
      <c r="H180" s="566"/>
      <c r="I180" s="566"/>
      <c r="J180" s="566"/>
      <c r="K180" s="566"/>
      <c r="L180" s="566"/>
    </row>
    <row r="181" spans="1:12">
      <c r="A181" s="567"/>
      <c r="B181" s="567"/>
      <c r="C181" s="566"/>
      <c r="D181" s="566"/>
      <c r="E181" s="566"/>
      <c r="F181" s="566"/>
      <c r="G181" s="566"/>
      <c r="H181" s="566"/>
      <c r="I181" s="566"/>
      <c r="J181" s="566"/>
      <c r="K181" s="566"/>
      <c r="L181" s="566"/>
    </row>
    <row r="182" spans="1:12">
      <c r="A182" s="567"/>
      <c r="B182" s="567"/>
      <c r="C182" s="566"/>
      <c r="D182" s="566"/>
      <c r="E182" s="566"/>
      <c r="F182" s="566"/>
      <c r="G182" s="566"/>
      <c r="H182" s="566"/>
      <c r="I182" s="566"/>
      <c r="J182" s="566"/>
      <c r="K182" s="566"/>
      <c r="L182" s="566"/>
    </row>
    <row r="183" spans="1:12">
      <c r="A183" s="567"/>
      <c r="B183" s="567"/>
      <c r="C183" s="566"/>
      <c r="D183" s="566"/>
      <c r="E183" s="566"/>
      <c r="F183" s="566"/>
      <c r="G183" s="566"/>
      <c r="H183" s="566"/>
      <c r="I183" s="566"/>
      <c r="J183" s="566"/>
      <c r="K183" s="566"/>
      <c r="L183" s="566"/>
    </row>
    <row r="184" spans="1:12">
      <c r="A184" s="567"/>
      <c r="B184" s="567"/>
      <c r="C184" s="566"/>
      <c r="D184" s="566"/>
      <c r="E184" s="566"/>
      <c r="F184" s="566"/>
      <c r="G184" s="566"/>
      <c r="H184" s="566"/>
      <c r="I184" s="566"/>
      <c r="J184" s="566"/>
      <c r="K184" s="566"/>
      <c r="L184" s="566"/>
    </row>
    <row r="185" spans="1:12">
      <c r="A185" s="567"/>
      <c r="B185" s="567"/>
      <c r="C185" s="566"/>
      <c r="D185" s="566"/>
      <c r="E185" s="566"/>
      <c r="F185" s="566"/>
      <c r="G185" s="566"/>
      <c r="H185" s="566"/>
      <c r="I185" s="566"/>
      <c r="J185" s="566"/>
      <c r="K185" s="566"/>
      <c r="L185" s="566"/>
    </row>
    <row r="186" spans="1:12">
      <c r="A186" s="567"/>
      <c r="B186" s="567"/>
      <c r="C186" s="566"/>
      <c r="D186" s="566"/>
      <c r="E186" s="566"/>
      <c r="F186" s="566"/>
      <c r="G186" s="566"/>
      <c r="H186" s="566"/>
      <c r="I186" s="566"/>
      <c r="J186" s="566"/>
      <c r="K186" s="566"/>
      <c r="L186" s="566"/>
    </row>
    <row r="187" spans="1:12">
      <c r="A187" s="567"/>
      <c r="B187" s="567"/>
      <c r="C187" s="566"/>
      <c r="D187" s="566"/>
      <c r="E187" s="566"/>
      <c r="F187" s="566"/>
      <c r="G187" s="566"/>
      <c r="H187" s="566"/>
      <c r="I187" s="566"/>
      <c r="J187" s="566"/>
      <c r="K187" s="566"/>
      <c r="L187" s="566"/>
    </row>
    <row r="188" spans="1:12">
      <c r="A188" s="567"/>
      <c r="B188" s="567"/>
      <c r="C188" s="566"/>
      <c r="D188" s="566"/>
      <c r="E188" s="566"/>
      <c r="F188" s="566"/>
      <c r="G188" s="566"/>
      <c r="H188" s="566"/>
      <c r="I188" s="566"/>
      <c r="J188" s="566"/>
      <c r="K188" s="566"/>
      <c r="L188" s="566"/>
    </row>
    <row r="189" spans="1:12">
      <c r="A189" s="567"/>
      <c r="B189" s="567"/>
      <c r="C189" s="566"/>
      <c r="D189" s="566"/>
      <c r="E189" s="566"/>
      <c r="F189" s="566"/>
      <c r="G189" s="566"/>
      <c r="H189" s="566"/>
      <c r="I189" s="566"/>
      <c r="J189" s="566"/>
      <c r="K189" s="566"/>
      <c r="L189" s="566"/>
    </row>
    <row r="190" spans="1:12">
      <c r="A190" s="567"/>
      <c r="B190" s="567"/>
      <c r="C190" s="566"/>
      <c r="D190" s="566"/>
      <c r="E190" s="566"/>
      <c r="F190" s="566"/>
      <c r="G190" s="566"/>
      <c r="H190" s="566"/>
      <c r="I190" s="566"/>
      <c r="J190" s="566"/>
      <c r="K190" s="566"/>
      <c r="L190" s="566"/>
    </row>
    <row r="191" spans="1:12">
      <c r="A191" s="567"/>
      <c r="B191" s="567"/>
      <c r="C191" s="566"/>
      <c r="D191" s="566"/>
      <c r="E191" s="566"/>
      <c r="F191" s="566"/>
      <c r="G191" s="566"/>
      <c r="H191" s="566"/>
      <c r="I191" s="566"/>
      <c r="J191" s="566"/>
      <c r="K191" s="566"/>
      <c r="L191" s="566"/>
    </row>
    <row r="192" spans="1:12">
      <c r="A192" s="567"/>
      <c r="B192" s="567"/>
      <c r="C192" s="566"/>
      <c r="D192" s="566"/>
      <c r="E192" s="566"/>
      <c r="F192" s="566"/>
      <c r="G192" s="566"/>
      <c r="H192" s="566"/>
      <c r="I192" s="566"/>
      <c r="J192" s="566"/>
      <c r="K192" s="566"/>
      <c r="L192" s="566"/>
    </row>
    <row r="193" spans="1:12">
      <c r="A193" s="567"/>
      <c r="B193" s="567"/>
      <c r="C193" s="566"/>
      <c r="D193" s="566"/>
      <c r="E193" s="566"/>
      <c r="F193" s="566"/>
      <c r="G193" s="566"/>
      <c r="H193" s="566"/>
      <c r="I193" s="566"/>
      <c r="J193" s="566"/>
      <c r="K193" s="566"/>
      <c r="L193" s="566"/>
    </row>
    <row r="194" spans="1:12">
      <c r="A194" s="567"/>
      <c r="B194" s="567"/>
      <c r="C194" s="566"/>
      <c r="D194" s="566"/>
      <c r="E194" s="566"/>
      <c r="F194" s="566"/>
      <c r="G194" s="566"/>
      <c r="H194" s="566"/>
      <c r="I194" s="566"/>
      <c r="J194" s="566"/>
      <c r="K194" s="566"/>
      <c r="L194" s="566"/>
    </row>
    <row r="195" spans="1:12">
      <c r="A195" s="567"/>
      <c r="B195" s="567"/>
      <c r="C195" s="566"/>
      <c r="D195" s="566"/>
      <c r="E195" s="566"/>
      <c r="F195" s="566"/>
      <c r="G195" s="566"/>
      <c r="H195" s="566"/>
      <c r="I195" s="566"/>
      <c r="J195" s="566"/>
      <c r="K195" s="566"/>
      <c r="L195" s="566"/>
    </row>
    <row r="196" spans="1:12">
      <c r="A196" s="567"/>
      <c r="B196" s="567"/>
      <c r="C196" s="566"/>
      <c r="D196" s="566"/>
      <c r="E196" s="566"/>
      <c r="F196" s="566"/>
      <c r="G196" s="566"/>
      <c r="H196" s="566"/>
      <c r="I196" s="566"/>
      <c r="J196" s="566"/>
      <c r="K196" s="566"/>
      <c r="L196" s="566"/>
    </row>
    <row r="197" spans="1:12">
      <c r="A197" s="567"/>
      <c r="B197" s="567"/>
      <c r="C197" s="566"/>
      <c r="D197" s="566"/>
      <c r="E197" s="566"/>
      <c r="F197" s="566"/>
      <c r="G197" s="566"/>
      <c r="H197" s="566"/>
      <c r="I197" s="566"/>
      <c r="J197" s="566"/>
      <c r="K197" s="566"/>
      <c r="L197" s="566"/>
    </row>
    <row r="198" spans="1:12">
      <c r="A198" s="567"/>
      <c r="B198" s="567"/>
      <c r="C198" s="566"/>
      <c r="D198" s="566"/>
      <c r="E198" s="566"/>
      <c r="F198" s="566"/>
      <c r="G198" s="566"/>
      <c r="H198" s="566"/>
      <c r="I198" s="566"/>
      <c r="J198" s="566"/>
      <c r="K198" s="566"/>
      <c r="L198" s="566"/>
    </row>
    <row r="199" spans="1:12">
      <c r="A199" s="567"/>
      <c r="B199" s="567"/>
      <c r="C199" s="566"/>
      <c r="D199" s="566"/>
      <c r="E199" s="566"/>
      <c r="F199" s="566"/>
      <c r="G199" s="566"/>
      <c r="H199" s="566"/>
      <c r="I199" s="566"/>
      <c r="J199" s="566"/>
      <c r="K199" s="566"/>
      <c r="L199" s="566"/>
    </row>
    <row r="200" spans="1:12">
      <c r="A200" s="567"/>
      <c r="B200" s="567"/>
      <c r="C200" s="566"/>
      <c r="D200" s="566"/>
      <c r="E200" s="566"/>
      <c r="F200" s="566"/>
      <c r="G200" s="566"/>
      <c r="H200" s="566"/>
      <c r="I200" s="566"/>
      <c r="J200" s="566"/>
      <c r="K200" s="566"/>
      <c r="L200" s="566"/>
    </row>
    <row r="201" spans="1:12">
      <c r="A201" s="567"/>
      <c r="B201" s="567"/>
      <c r="C201" s="566"/>
      <c r="D201" s="566"/>
      <c r="E201" s="566"/>
      <c r="F201" s="566"/>
      <c r="G201" s="566"/>
      <c r="H201" s="566"/>
      <c r="I201" s="566"/>
      <c r="J201" s="566"/>
      <c r="K201" s="566"/>
      <c r="L201" s="566"/>
    </row>
    <row r="202" spans="1:12">
      <c r="A202" s="567"/>
      <c r="B202" s="567"/>
      <c r="C202" s="566"/>
      <c r="D202" s="566"/>
      <c r="E202" s="566"/>
      <c r="F202" s="566"/>
      <c r="G202" s="566"/>
      <c r="H202" s="566"/>
      <c r="I202" s="566"/>
      <c r="J202" s="566"/>
      <c r="K202" s="566"/>
      <c r="L202" s="566"/>
    </row>
  </sheetData>
  <mergeCells count="4">
    <mergeCell ref="D3:G3"/>
    <mergeCell ref="D5:G5"/>
    <mergeCell ref="D6:G6"/>
    <mergeCell ref="C34:F34"/>
  </mergeCells>
  <pageMargins left="0.75" right="0.75" top="1" bottom="1" header="0.5" footer="0.5"/>
  <pageSetup scale="61" orientation="portrait" blackAndWhite="1" r:id="rId1"/>
  <headerFooter alignWithMargins="0"/>
  <legacyDrawing r:id="rId2"/>
  <controls>
    <control shapeId="9219" r:id="rId3" name="CommandButton1"/>
  </controls>
</worksheet>
</file>

<file path=xl/worksheets/sheet15.xml><?xml version="1.0" encoding="utf-8"?>
<worksheet xmlns="http://schemas.openxmlformats.org/spreadsheetml/2006/main" xmlns:r="http://schemas.openxmlformats.org/officeDocument/2006/relationships">
  <sheetPr codeName="Sheet20">
    <pageSetUpPr fitToPage="1"/>
  </sheetPr>
  <dimension ref="A1:L172"/>
  <sheetViews>
    <sheetView showGridLines="0" topLeftCell="A43" zoomScale="75" zoomScaleNormal="75" workbookViewId="0">
      <selection activeCell="E66" sqref="E66:F66"/>
    </sheetView>
  </sheetViews>
  <sheetFormatPr defaultColWidth="8.85546875" defaultRowHeight="12.75"/>
  <cols>
    <col min="1" max="1" width="7.7109375" style="28" customWidth="1"/>
    <col min="2" max="2" width="10.7109375" style="28" customWidth="1"/>
    <col min="3" max="3" width="38.28515625" style="28" customWidth="1"/>
    <col min="4" max="4" width="11.7109375" style="28" customWidth="1"/>
    <col min="5" max="5" width="14.28515625" style="28" customWidth="1"/>
    <col min="6" max="6" width="17.7109375" style="28" customWidth="1"/>
    <col min="7" max="7" width="4.140625" style="28" bestFit="1" customWidth="1"/>
    <col min="8" max="8" width="14.28515625" style="28" customWidth="1"/>
    <col min="9" max="9" width="4.140625" style="28" bestFit="1" customWidth="1"/>
    <col min="10" max="10" width="15.7109375" style="28" customWidth="1"/>
    <col min="11" max="11" width="9.140625" style="28" customWidth="1"/>
    <col min="12" max="16384" width="8.85546875" style="28"/>
  </cols>
  <sheetData>
    <row r="1" spans="1:12" s="509" customFormat="1">
      <c r="A1" s="478"/>
      <c r="B1" s="624" t="str">
        <f>TestYear &amp; " Test Year"</f>
        <v>2015 Test Year</v>
      </c>
      <c r="C1" s="475"/>
      <c r="D1" s="478"/>
      <c r="E1" s="478"/>
      <c r="F1" s="478"/>
      <c r="G1" s="478"/>
      <c r="H1" s="478"/>
      <c r="I1" s="478"/>
      <c r="J1" s="477" t="s">
        <v>333</v>
      </c>
      <c r="K1" s="475"/>
      <c r="L1" s="475"/>
    </row>
    <row r="2" spans="1:12" s="509" customFormat="1">
      <c r="A2" s="478"/>
      <c r="B2" s="624"/>
      <c r="C2" s="475"/>
      <c r="D2" s="478"/>
      <c r="E2" s="478"/>
      <c r="F2" s="478"/>
      <c r="G2" s="478"/>
      <c r="H2" s="478"/>
      <c r="I2" s="478"/>
      <c r="J2" s="478"/>
      <c r="K2" s="475"/>
      <c r="L2" s="475"/>
    </row>
    <row r="3" spans="1:12" s="509" customFormat="1">
      <c r="A3" s="478"/>
      <c r="B3" s="475"/>
      <c r="C3" s="1967" t="str">
        <f>Utility</f>
        <v>MADISON WATER UTILITY</v>
      </c>
      <c r="D3" s="1967"/>
      <c r="E3" s="1967"/>
      <c r="F3" s="1967"/>
      <c r="G3" s="1967"/>
      <c r="H3" s="1967"/>
      <c r="I3" s="1967"/>
      <c r="J3" s="1967"/>
      <c r="K3" s="475"/>
      <c r="L3" s="475"/>
    </row>
    <row r="4" spans="1:12" s="509" customFormat="1">
      <c r="A4" s="478"/>
      <c r="B4" s="475"/>
      <c r="C4" s="475"/>
      <c r="D4" s="510"/>
      <c r="E4" s="482"/>
      <c r="F4" s="482"/>
      <c r="G4" s="482"/>
      <c r="H4" s="482"/>
      <c r="I4" s="391"/>
      <c r="J4" s="482"/>
      <c r="K4" s="475"/>
      <c r="L4" s="475"/>
    </row>
    <row r="5" spans="1:12" s="509" customFormat="1">
      <c r="A5" s="478"/>
      <c r="B5" s="475"/>
      <c r="C5" s="1900" t="s">
        <v>326</v>
      </c>
      <c r="D5" s="1968"/>
      <c r="E5" s="1968"/>
      <c r="F5" s="1968"/>
      <c r="G5" s="1968"/>
      <c r="H5" s="1968"/>
      <c r="I5" s="1968"/>
      <c r="J5" s="1968"/>
      <c r="K5" s="475"/>
      <c r="L5" s="475"/>
    </row>
    <row r="6" spans="1:12" s="509" customFormat="1">
      <c r="A6" s="478"/>
      <c r="B6" s="478"/>
      <c r="C6" s="1969" t="str">
        <f>CONCATENATE("Estimated for Test Year ",TestYear)</f>
        <v>Estimated for Test Year 2015</v>
      </c>
      <c r="D6" s="1970"/>
      <c r="E6" s="1970"/>
      <c r="F6" s="1970"/>
      <c r="G6" s="1970"/>
      <c r="H6" s="1970"/>
      <c r="I6" s="1970"/>
      <c r="J6" s="1970"/>
      <c r="K6" s="475"/>
      <c r="L6" s="475"/>
    </row>
    <row r="7" spans="1:12" ht="13.5" thickBot="1">
      <c r="A7" s="478"/>
      <c r="B7" s="478"/>
      <c r="C7" s="480"/>
      <c r="D7" s="481"/>
      <c r="E7" s="482"/>
      <c r="F7" s="481"/>
      <c r="G7" s="481"/>
      <c r="H7" s="481"/>
      <c r="I7" s="481"/>
      <c r="J7" s="481"/>
      <c r="K7" s="460"/>
      <c r="L7" s="460"/>
    </row>
    <row r="8" spans="1:12" ht="13.5" thickTop="1">
      <c r="A8" s="475"/>
      <c r="B8" s="496"/>
      <c r="C8" s="497"/>
      <c r="D8" s="498"/>
      <c r="E8" s="498"/>
      <c r="F8" s="499"/>
      <c r="G8" s="499"/>
      <c r="H8" s="499"/>
      <c r="I8" s="499"/>
      <c r="J8" s="499"/>
      <c r="K8" s="500"/>
      <c r="L8" s="460"/>
    </row>
    <row r="9" spans="1:12">
      <c r="A9" s="474"/>
      <c r="B9" s="554" t="s">
        <v>972</v>
      </c>
      <c r="C9" s="489"/>
      <c r="D9" s="489"/>
      <c r="E9" s="489"/>
      <c r="F9" s="489"/>
      <c r="G9" s="489"/>
      <c r="H9" s="489"/>
      <c r="I9" s="489"/>
      <c r="J9" s="489"/>
      <c r="K9" s="501"/>
      <c r="L9" s="460"/>
    </row>
    <row r="10" spans="1:12" ht="14.25">
      <c r="A10" s="475"/>
      <c r="B10" s="512"/>
      <c r="C10" s="519" t="s">
        <v>327</v>
      </c>
      <c r="D10" s="489"/>
      <c r="E10" s="489"/>
      <c r="F10" s="489"/>
      <c r="G10" s="489"/>
      <c r="H10" s="489"/>
      <c r="I10" s="489"/>
      <c r="J10" s="489"/>
      <c r="K10" s="501"/>
      <c r="L10" s="460"/>
    </row>
    <row r="11" spans="1:12" ht="14.25">
      <c r="A11" s="475"/>
      <c r="B11" s="512"/>
      <c r="C11" s="519" t="s">
        <v>328</v>
      </c>
      <c r="D11" s="489"/>
      <c r="E11" s="489"/>
      <c r="F11" s="489"/>
      <c r="G11" s="489"/>
      <c r="H11" s="489"/>
      <c r="I11" s="489"/>
      <c r="J11" s="489"/>
      <c r="K11" s="501"/>
      <c r="L11" s="460"/>
    </row>
    <row r="12" spans="1:12">
      <c r="A12" s="475"/>
      <c r="B12" s="502"/>
      <c r="C12" s="489"/>
      <c r="D12" s="489"/>
      <c r="E12" s="489"/>
      <c r="F12" s="489"/>
      <c r="G12" s="489"/>
      <c r="H12" s="489"/>
      <c r="I12" s="489"/>
      <c r="J12" s="489"/>
      <c r="K12" s="501"/>
      <c r="L12" s="460"/>
    </row>
    <row r="13" spans="1:12" ht="14.25">
      <c r="A13" s="464"/>
      <c r="B13" s="503"/>
      <c r="C13" s="1964" t="s">
        <v>329</v>
      </c>
      <c r="D13" s="1965"/>
      <c r="E13" s="1966"/>
      <c r="F13" s="492">
        <v>0</v>
      </c>
      <c r="G13" s="489"/>
      <c r="H13" s="489"/>
      <c r="I13" s="489"/>
      <c r="J13" s="489"/>
      <c r="K13" s="501"/>
      <c r="L13" s="460"/>
    </row>
    <row r="14" spans="1:12" ht="14.25">
      <c r="A14" s="476"/>
      <c r="B14" s="504"/>
      <c r="C14" s="511" t="s">
        <v>330</v>
      </c>
      <c r="D14" s="511"/>
      <c r="E14" s="511"/>
      <c r="F14" s="493"/>
      <c r="G14" s="489"/>
      <c r="H14" s="489"/>
      <c r="I14" s="489"/>
      <c r="J14" s="489"/>
      <c r="K14" s="501"/>
      <c r="L14" s="460"/>
    </row>
    <row r="15" spans="1:12" ht="14.25">
      <c r="A15" s="476"/>
      <c r="B15" s="504"/>
      <c r="C15" s="1964" t="s">
        <v>331</v>
      </c>
      <c r="D15" s="1965"/>
      <c r="E15" s="1966"/>
      <c r="F15" s="494"/>
      <c r="G15" s="489"/>
      <c r="H15" s="489"/>
      <c r="I15" s="489"/>
      <c r="J15" s="489"/>
      <c r="K15" s="501"/>
      <c r="L15" s="460"/>
    </row>
    <row r="16" spans="1:12" ht="14.25">
      <c r="A16" s="476"/>
      <c r="B16" s="504"/>
      <c r="C16" s="1961" t="str">
        <f>IF(F14&gt;0,CONCATENATE("Charge per foot of main over base of ",F14," feet (dollars)"),"Charge per foot of main over base (dollars)")</f>
        <v>Charge per foot of main over base (dollars)</v>
      </c>
      <c r="D16" s="1962"/>
      <c r="E16" s="1963"/>
      <c r="F16" s="495"/>
      <c r="G16" s="489"/>
      <c r="H16" s="489"/>
      <c r="I16" s="489"/>
      <c r="J16" s="489"/>
      <c r="K16" s="501"/>
      <c r="L16" s="460"/>
    </row>
    <row r="17" spans="1:12" ht="14.25">
      <c r="A17" s="476"/>
      <c r="B17" s="504"/>
      <c r="C17" s="1964" t="s">
        <v>332</v>
      </c>
      <c r="D17" s="1965"/>
      <c r="E17" s="1966"/>
      <c r="F17" s="493"/>
      <c r="G17" s="489"/>
      <c r="H17" s="489"/>
      <c r="I17" s="489"/>
      <c r="J17" s="489"/>
      <c r="K17" s="501"/>
      <c r="L17" s="460"/>
    </row>
    <row r="18" spans="1:12" ht="14.25">
      <c r="A18" s="477"/>
      <c r="B18" s="504"/>
      <c r="C18" s="1961" t="str">
        <f>IF(F16&gt;0,CONCATENATE("Charge per hydrant over base of ",F17," hydrants (dollars)"),"Charge per hydrant over base (dollars)")</f>
        <v>Charge per hydrant over base (dollars)</v>
      </c>
      <c r="D18" s="1962"/>
      <c r="E18" s="1963"/>
      <c r="F18" s="495"/>
      <c r="G18" s="489"/>
      <c r="H18" s="489"/>
      <c r="I18" s="489"/>
      <c r="J18" s="489"/>
      <c r="K18" s="501"/>
      <c r="L18" s="460"/>
    </row>
    <row r="19" spans="1:12">
      <c r="A19" s="477"/>
      <c r="B19" s="504"/>
      <c r="C19" s="491"/>
      <c r="D19" s="491"/>
      <c r="E19" s="491"/>
      <c r="F19" s="490"/>
      <c r="G19" s="489"/>
      <c r="H19" s="489"/>
      <c r="I19" s="489"/>
      <c r="J19" s="489"/>
      <c r="K19" s="501"/>
      <c r="L19" s="460"/>
    </row>
    <row r="20" spans="1:12" ht="14.25">
      <c r="A20" s="483"/>
      <c r="B20" s="513"/>
      <c r="C20" s="519"/>
      <c r="D20" s="484"/>
      <c r="E20" s="515"/>
      <c r="F20" s="516"/>
      <c r="G20" s="485"/>
      <c r="H20" s="484"/>
      <c r="I20" s="484"/>
      <c r="J20" s="484"/>
      <c r="K20" s="501"/>
      <c r="L20" s="460"/>
    </row>
    <row r="21" spans="1:12" ht="14.25">
      <c r="A21" s="483"/>
      <c r="B21" s="513"/>
      <c r="C21" s="523" t="s">
        <v>335</v>
      </c>
      <c r="D21" s="521"/>
      <c r="E21" s="521"/>
      <c r="F21" s="979" t="str">
        <f>CONCATENATE("Mains",F15," Inches")</f>
        <v>Mains Inches</v>
      </c>
      <c r="G21" s="980"/>
      <c r="H21" s="981" t="s">
        <v>293</v>
      </c>
      <c r="I21" s="980"/>
      <c r="J21" s="982" t="s">
        <v>336</v>
      </c>
      <c r="K21" s="501"/>
      <c r="L21" s="460"/>
    </row>
    <row r="22" spans="1:12" ht="14.25">
      <c r="A22" s="483"/>
      <c r="B22" s="513"/>
      <c r="C22" s="524"/>
      <c r="D22" s="489"/>
      <c r="E22" s="488"/>
      <c r="F22" s="984" t="s">
        <v>337</v>
      </c>
      <c r="G22" s="983"/>
      <c r="H22" s="984" t="s">
        <v>338</v>
      </c>
      <c r="I22" s="983"/>
      <c r="J22" s="985" t="s">
        <v>255</v>
      </c>
      <c r="K22" s="501"/>
      <c r="L22" s="460"/>
    </row>
    <row r="23" spans="1:12" ht="14.25">
      <c r="A23" s="483"/>
      <c r="B23" s="513"/>
      <c r="C23" s="525"/>
      <c r="D23" s="489"/>
      <c r="E23" s="529"/>
      <c r="F23" s="489"/>
      <c r="G23" s="489"/>
      <c r="H23" s="489"/>
      <c r="I23" s="489"/>
      <c r="J23" s="522"/>
      <c r="K23" s="501"/>
      <c r="L23" s="460"/>
    </row>
    <row r="24" spans="1:12" ht="14.25">
      <c r="A24" s="483"/>
      <c r="B24" s="513"/>
      <c r="C24" s="525" t="s">
        <v>339</v>
      </c>
      <c r="D24" s="519"/>
      <c r="E24" s="555"/>
      <c r="F24" s="986">
        <f>F14</f>
        <v>0</v>
      </c>
      <c r="G24" s="562" t="s">
        <v>340</v>
      </c>
      <c r="H24" s="986">
        <f>F17</f>
        <v>0</v>
      </c>
      <c r="I24" s="562" t="s">
        <v>341</v>
      </c>
      <c r="J24" s="987">
        <f>F13</f>
        <v>0</v>
      </c>
      <c r="K24" s="501"/>
      <c r="L24" s="460"/>
    </row>
    <row r="25" spans="1:12" ht="14.25">
      <c r="A25" s="483"/>
      <c r="B25" s="513"/>
      <c r="C25" s="525"/>
      <c r="D25" s="519"/>
      <c r="E25" s="519"/>
      <c r="F25" s="558"/>
      <c r="G25" s="519"/>
      <c r="H25" s="558"/>
      <c r="I25" s="519"/>
      <c r="J25" s="988"/>
      <c r="K25" s="501"/>
      <c r="L25" s="460"/>
    </row>
    <row r="26" spans="1:12" ht="14.25">
      <c r="A26" s="483"/>
      <c r="B26" s="513"/>
      <c r="C26" s="526" t="str">
        <f>CONCATENATE("Balance - 12/31/",TestYear-2)</f>
        <v>Balance - 12/31/2013</v>
      </c>
      <c r="D26" s="519"/>
      <c r="E26" s="519"/>
      <c r="F26" s="989">
        <v>0</v>
      </c>
      <c r="G26" s="519"/>
      <c r="H26" s="989">
        <v>0</v>
      </c>
      <c r="I26" s="562" t="s">
        <v>342</v>
      </c>
      <c r="J26" s="990" t="s">
        <v>342</v>
      </c>
      <c r="K26" s="501"/>
      <c r="L26" s="460"/>
    </row>
    <row r="27" spans="1:12" ht="14.25">
      <c r="A27" s="483"/>
      <c r="B27" s="513"/>
      <c r="C27" s="526"/>
      <c r="D27" s="519"/>
      <c r="E27" s="519"/>
      <c r="F27" s="519"/>
      <c r="G27" s="519"/>
      <c r="H27" s="519"/>
      <c r="I27" s="562" t="s">
        <v>342</v>
      </c>
      <c r="J27" s="990" t="s">
        <v>342</v>
      </c>
      <c r="K27" s="501"/>
      <c r="L27" s="460"/>
    </row>
    <row r="28" spans="1:12" ht="14.25">
      <c r="A28" s="483"/>
      <c r="B28" s="513"/>
      <c r="C28" s="526" t="str">
        <f>CONCATENATE(TestYear-1," NET additions")</f>
        <v>2014 NET additions</v>
      </c>
      <c r="D28" s="519"/>
      <c r="E28" s="519"/>
      <c r="F28" s="986">
        <f>Attach17!J14</f>
        <v>10053</v>
      </c>
      <c r="G28" s="519"/>
      <c r="H28" s="986">
        <f>Attach17!J18</f>
        <v>119</v>
      </c>
      <c r="I28" s="562"/>
      <c r="J28" s="990" t="s">
        <v>342</v>
      </c>
      <c r="K28" s="501"/>
      <c r="L28" s="460"/>
    </row>
    <row r="29" spans="1:12" ht="14.25">
      <c r="A29" s="483"/>
      <c r="B29" s="513"/>
      <c r="C29" s="526" t="str">
        <f>CONCATENATE("1/2 of test year ",TestYear," NET Routine units added")</f>
        <v>1/2 of test year 2015 NET Routine units added</v>
      </c>
      <c r="D29" s="519"/>
      <c r="E29" s="519"/>
      <c r="F29" s="986">
        <f>Attach17!J15*0.5</f>
        <v>18368.5</v>
      </c>
      <c r="G29" s="519"/>
      <c r="H29" s="986">
        <f>Attach17!J19*0.5</f>
        <v>20</v>
      </c>
      <c r="I29" s="562"/>
      <c r="J29" s="990" t="s">
        <v>342</v>
      </c>
      <c r="K29" s="501"/>
      <c r="L29" s="460"/>
    </row>
    <row r="30" spans="1:12" ht="14.25">
      <c r="A30" s="483"/>
      <c r="B30" s="513"/>
      <c r="C30" s="526" t="str">
        <f>CONCATENATE("All of Test Year ",TestYear," Major Units Added")</f>
        <v>All of Test Year 2015 Major Units Added</v>
      </c>
      <c r="D30" s="519"/>
      <c r="E30" s="519"/>
      <c r="F30" s="986">
        <f>Attach17!J16</f>
        <v>0</v>
      </c>
      <c r="G30" s="519"/>
      <c r="H30" s="986">
        <f>Attach17!J20</f>
        <v>0</v>
      </c>
      <c r="I30" s="562" t="s">
        <v>342</v>
      </c>
      <c r="J30" s="990" t="s">
        <v>342</v>
      </c>
      <c r="K30" s="501"/>
      <c r="L30" s="460"/>
    </row>
    <row r="31" spans="1:12" ht="14.25">
      <c r="A31" s="483"/>
      <c r="B31" s="513"/>
      <c r="C31" s="526"/>
      <c r="D31" s="519"/>
      <c r="E31" s="519"/>
      <c r="F31" s="562"/>
      <c r="G31" s="519"/>
      <c r="H31" s="562"/>
      <c r="I31" s="562"/>
      <c r="J31" s="990" t="s">
        <v>342</v>
      </c>
      <c r="K31" s="501"/>
      <c r="L31" s="460"/>
    </row>
    <row r="32" spans="1:12" ht="14.25">
      <c r="A32" s="483"/>
      <c r="B32" s="513"/>
      <c r="C32" s="525" t="s">
        <v>343</v>
      </c>
      <c r="D32" s="519"/>
      <c r="E32" s="519"/>
      <c r="F32" s="991">
        <f>SUM(F26:F30)</f>
        <v>28421.5</v>
      </c>
      <c r="G32" s="520"/>
      <c r="H32" s="991">
        <f>SUM(H26:H30)</f>
        <v>139</v>
      </c>
      <c r="I32" s="562"/>
      <c r="J32" s="990" t="s">
        <v>342</v>
      </c>
      <c r="K32" s="501"/>
      <c r="L32" s="460"/>
    </row>
    <row r="33" spans="1:12" ht="14.25">
      <c r="A33" s="483"/>
      <c r="B33" s="513"/>
      <c r="C33" s="525"/>
      <c r="D33" s="519"/>
      <c r="E33" s="519"/>
      <c r="F33" s="519"/>
      <c r="G33" s="519"/>
      <c r="H33" s="558"/>
      <c r="I33" s="562"/>
      <c r="J33" s="990" t="s">
        <v>342</v>
      </c>
      <c r="K33" s="501"/>
      <c r="L33" s="460"/>
    </row>
    <row r="34" spans="1:12" ht="14.25">
      <c r="A34" s="483"/>
      <c r="B34" s="513"/>
      <c r="C34" s="527" t="s">
        <v>974</v>
      </c>
      <c r="D34" s="561"/>
      <c r="E34" s="519"/>
      <c r="F34" s="986">
        <f>IF(F24&gt;F32,0,F32-F24)</f>
        <v>28421.5</v>
      </c>
      <c r="G34" s="520" t="s">
        <v>340</v>
      </c>
      <c r="H34" s="986">
        <f>IF(H24&gt;H32,0,H32-H24)</f>
        <v>139</v>
      </c>
      <c r="I34" s="562" t="s">
        <v>341</v>
      </c>
      <c r="J34" s="990" t="s">
        <v>342</v>
      </c>
      <c r="K34" s="501"/>
      <c r="L34" s="460"/>
    </row>
    <row r="35" spans="1:12" ht="14.25">
      <c r="A35" s="483"/>
      <c r="B35" s="513"/>
      <c r="C35" s="527" t="s">
        <v>978</v>
      </c>
      <c r="D35" s="561"/>
      <c r="E35" s="519"/>
      <c r="F35" s="992">
        <f>F16</f>
        <v>0</v>
      </c>
      <c r="G35" s="520"/>
      <c r="H35" s="992">
        <f>F18</f>
        <v>0</v>
      </c>
      <c r="I35" s="519"/>
      <c r="J35" s="990" t="s">
        <v>342</v>
      </c>
      <c r="K35" s="501"/>
      <c r="L35" s="460"/>
    </row>
    <row r="36" spans="1:12" ht="14.25">
      <c r="A36" s="483"/>
      <c r="B36" s="513"/>
      <c r="C36" s="524"/>
      <c r="D36" s="519"/>
      <c r="E36" s="519"/>
      <c r="F36" s="558"/>
      <c r="G36" s="519"/>
      <c r="H36" s="558"/>
      <c r="I36" s="519"/>
      <c r="J36" s="990"/>
      <c r="K36" s="501"/>
      <c r="L36" s="460"/>
    </row>
    <row r="37" spans="1:12" ht="15" thickBot="1">
      <c r="A37" s="483"/>
      <c r="B37" s="513"/>
      <c r="C37" s="527" t="s">
        <v>975</v>
      </c>
      <c r="D37" s="561"/>
      <c r="E37" s="519"/>
      <c r="F37" s="993">
        <f>ROUND(F34*F35,0)</f>
        <v>0</v>
      </c>
      <c r="G37" s="519"/>
      <c r="H37" s="993">
        <f>ROUND(H34*H35,0)</f>
        <v>0</v>
      </c>
      <c r="I37" s="519"/>
      <c r="J37" s="994">
        <f>F37+H37</f>
        <v>0</v>
      </c>
      <c r="K37" s="501"/>
      <c r="L37" s="460"/>
    </row>
    <row r="38" spans="1:12" ht="15" thickTop="1">
      <c r="A38" s="483"/>
      <c r="B38" s="513"/>
      <c r="C38" s="525"/>
      <c r="D38" s="519"/>
      <c r="E38" s="519"/>
      <c r="F38" s="562" t="s">
        <v>342</v>
      </c>
      <c r="G38" s="519"/>
      <c r="H38" s="562" t="s">
        <v>342</v>
      </c>
      <c r="I38" s="562" t="s">
        <v>342</v>
      </c>
      <c r="J38" s="995"/>
      <c r="K38" s="501"/>
      <c r="L38" s="460"/>
    </row>
    <row r="39" spans="1:12" ht="14.25">
      <c r="A39" s="483"/>
      <c r="B39" s="513"/>
      <c r="C39" s="528" t="s">
        <v>976</v>
      </c>
      <c r="D39" s="996"/>
      <c r="E39" s="997"/>
      <c r="F39" s="998" t="s">
        <v>342</v>
      </c>
      <c r="G39" s="997"/>
      <c r="H39" s="998" t="s">
        <v>342</v>
      </c>
      <c r="I39" s="998" t="s">
        <v>342</v>
      </c>
      <c r="J39" s="994">
        <f>SUM(J23:J37)</f>
        <v>0</v>
      </c>
      <c r="K39" s="501"/>
      <c r="L39" s="460"/>
    </row>
    <row r="40" spans="1:12" ht="14.25">
      <c r="A40" s="483"/>
      <c r="B40" s="513"/>
      <c r="C40" s="489"/>
      <c r="D40" s="489"/>
      <c r="E40" s="489"/>
      <c r="F40" s="490"/>
      <c r="G40" s="489"/>
      <c r="H40" s="489"/>
      <c r="I40" s="489"/>
      <c r="J40" s="489"/>
      <c r="K40" s="501"/>
      <c r="L40" s="460"/>
    </row>
    <row r="41" spans="1:12" ht="14.25">
      <c r="A41" s="483"/>
      <c r="B41" s="513"/>
      <c r="C41" s="489"/>
      <c r="D41" s="489"/>
      <c r="E41" s="489"/>
      <c r="F41" s="490"/>
      <c r="G41" s="489"/>
      <c r="H41" s="489"/>
      <c r="I41" s="489"/>
      <c r="J41" s="489"/>
      <c r="K41" s="501"/>
      <c r="L41" s="460"/>
    </row>
    <row r="42" spans="1:12" ht="14.25">
      <c r="A42" s="483"/>
      <c r="B42" s="513"/>
      <c r="C42" s="489"/>
      <c r="D42" s="489"/>
      <c r="E42" s="489"/>
      <c r="F42" s="490"/>
      <c r="G42" s="489"/>
      <c r="H42" s="489"/>
      <c r="I42" s="489"/>
      <c r="J42" s="489"/>
      <c r="K42" s="501"/>
      <c r="L42" s="460"/>
    </row>
    <row r="43" spans="1:12" ht="13.5" thickBot="1">
      <c r="A43" s="477"/>
      <c r="B43" s="505"/>
      <c r="C43" s="506"/>
      <c r="D43" s="506"/>
      <c r="E43" s="506"/>
      <c r="F43" s="507"/>
      <c r="G43" s="506"/>
      <c r="H43" s="506"/>
      <c r="I43" s="506"/>
      <c r="J43" s="506"/>
      <c r="K43" s="508"/>
      <c r="L43" s="460"/>
    </row>
    <row r="44" spans="1:12" ht="13.5" thickTop="1">
      <c r="A44" s="479"/>
      <c r="B44" s="479"/>
      <c r="C44" s="475"/>
      <c r="D44" s="475"/>
      <c r="E44" s="475"/>
      <c r="F44" s="475"/>
      <c r="G44" s="475"/>
      <c r="H44" s="475"/>
      <c r="I44" s="475"/>
      <c r="J44" s="475"/>
      <c r="K44" s="460"/>
      <c r="L44" s="460"/>
    </row>
    <row r="45" spans="1:12" ht="13.5" thickBot="1">
      <c r="A45" s="467"/>
      <c r="B45" s="460"/>
      <c r="C45" s="468"/>
      <c r="D45" s="469"/>
      <c r="E45" s="469"/>
      <c r="F45" s="469"/>
      <c r="G45" s="469"/>
      <c r="H45" s="469"/>
      <c r="I45" s="469"/>
      <c r="J45" s="467"/>
      <c r="K45" s="460"/>
      <c r="L45" s="460"/>
    </row>
    <row r="46" spans="1:12" ht="13.5" thickTop="1">
      <c r="A46" s="472"/>
      <c r="B46" s="544"/>
      <c r="C46" s="545"/>
      <c r="D46" s="546"/>
      <c r="E46" s="498"/>
      <c r="F46" s="498"/>
      <c r="G46" s="498"/>
      <c r="H46" s="498"/>
      <c r="I46" s="498"/>
      <c r="J46" s="547"/>
      <c r="K46" s="500"/>
      <c r="L46" s="460"/>
    </row>
    <row r="47" spans="1:12">
      <c r="A47" s="185"/>
      <c r="B47" s="552" t="s">
        <v>973</v>
      </c>
      <c r="C47" s="486"/>
      <c r="D47" s="489"/>
      <c r="E47" s="515"/>
      <c r="F47" s="515"/>
      <c r="G47" s="531"/>
      <c r="H47" s="531"/>
      <c r="I47" s="531"/>
      <c r="J47" s="489"/>
      <c r="K47" s="501"/>
      <c r="L47" s="460"/>
    </row>
    <row r="48" spans="1:12">
      <c r="A48" s="185"/>
      <c r="B48" s="373"/>
      <c r="C48" s="491" t="s">
        <v>345</v>
      </c>
      <c r="D48" s="489"/>
      <c r="E48" s="489"/>
      <c r="F48" s="489"/>
      <c r="G48" s="489"/>
      <c r="H48" s="489"/>
      <c r="I48" s="489"/>
      <c r="J48" s="489"/>
      <c r="K48" s="501"/>
      <c r="L48" s="460"/>
    </row>
    <row r="49" spans="1:12">
      <c r="A49" s="185"/>
      <c r="B49" s="373"/>
      <c r="C49" s="491"/>
      <c r="D49" s="489"/>
      <c r="E49" s="489"/>
      <c r="F49" s="489"/>
      <c r="G49" s="489"/>
      <c r="H49" s="489"/>
      <c r="I49" s="489"/>
      <c r="J49" s="489"/>
      <c r="K49" s="501"/>
      <c r="L49" s="460"/>
    </row>
    <row r="50" spans="1:12">
      <c r="A50" s="185"/>
      <c r="B50" s="373"/>
      <c r="C50" s="532" t="s">
        <v>346</v>
      </c>
      <c r="D50" s="553">
        <f>BillingPeriods</f>
        <v>12</v>
      </c>
      <c r="E50" s="489"/>
      <c r="F50" s="489"/>
      <c r="G50" s="487"/>
      <c r="H50" s="487"/>
      <c r="I50" s="487"/>
      <c r="J50" s="489"/>
      <c r="K50" s="501"/>
      <c r="L50" s="460"/>
    </row>
    <row r="51" spans="1:12">
      <c r="A51" s="185"/>
      <c r="B51" s="373"/>
      <c r="C51" s="489"/>
      <c r="D51" s="489"/>
      <c r="E51" s="489"/>
      <c r="F51" s="529"/>
      <c r="G51" s="529"/>
      <c r="H51" s="515"/>
      <c r="I51" s="489"/>
      <c r="J51" s="515"/>
      <c r="K51" s="501"/>
      <c r="L51" s="460"/>
    </row>
    <row r="52" spans="1:12" ht="15">
      <c r="A52" s="185"/>
      <c r="B52" s="373"/>
      <c r="C52" s="971"/>
      <c r="D52" s="971" t="s">
        <v>347</v>
      </c>
      <c r="E52" s="1956" t="s">
        <v>966</v>
      </c>
      <c r="F52" s="1956"/>
      <c r="G52" s="971"/>
      <c r="H52" s="970"/>
      <c r="I52" s="515"/>
      <c r="J52" s="514"/>
      <c r="K52" s="501"/>
      <c r="L52" s="460"/>
    </row>
    <row r="53" spans="1:12" ht="15">
      <c r="A53" s="185"/>
      <c r="B53" s="373"/>
      <c r="C53" s="974" t="s">
        <v>236</v>
      </c>
      <c r="D53" s="974" t="s">
        <v>307</v>
      </c>
      <c r="E53" s="1957" t="s">
        <v>350</v>
      </c>
      <c r="F53" s="1957"/>
      <c r="G53" s="1960" t="s">
        <v>977</v>
      </c>
      <c r="H53" s="1960"/>
      <c r="I53" s="533"/>
      <c r="J53" s="514"/>
      <c r="K53" s="501"/>
      <c r="L53" s="460"/>
    </row>
    <row r="54" spans="1:12" ht="14.25">
      <c r="A54" s="185"/>
      <c r="B54" s="373"/>
      <c r="C54" s="555" t="s">
        <v>258</v>
      </c>
      <c r="D54" s="556">
        <v>1.5</v>
      </c>
      <c r="E54" s="1950">
        <f>Attach3B!M14</f>
        <v>60077</v>
      </c>
      <c r="F54" s="1951"/>
      <c r="G54" s="1953">
        <f>IF(ISERROR($D$50*E54*D54),0,$D$50*E54*D54)</f>
        <v>1081386</v>
      </c>
      <c r="H54" s="1953"/>
      <c r="I54" s="533"/>
      <c r="J54" s="514"/>
      <c r="K54" s="501"/>
      <c r="L54" s="460"/>
    </row>
    <row r="55" spans="1:12" ht="14.25">
      <c r="A55" s="185"/>
      <c r="B55" s="373"/>
      <c r="C55" s="555" t="s">
        <v>259</v>
      </c>
      <c r="D55" s="557">
        <v>4.25</v>
      </c>
      <c r="E55" s="1950">
        <f>Attach3B!M15</f>
        <v>2308</v>
      </c>
      <c r="F55" s="1951"/>
      <c r="G55" s="1953">
        <f t="shared" ref="G55:G66" si="0">IF(ISERROR($D$50*E55*D55),0,$D$50*E55*D55)</f>
        <v>117708</v>
      </c>
      <c r="H55" s="1953"/>
      <c r="I55" s="533"/>
      <c r="J55" s="514"/>
      <c r="K55" s="501"/>
      <c r="L55" s="460"/>
    </row>
    <row r="56" spans="1:12" ht="14.25">
      <c r="A56" s="303"/>
      <c r="B56" s="373"/>
      <c r="C56" s="555" t="s">
        <v>260</v>
      </c>
      <c r="D56" s="557">
        <v>9.5</v>
      </c>
      <c r="E56" s="1950">
        <f>Attach3B!M16</f>
        <v>2048</v>
      </c>
      <c r="F56" s="1951"/>
      <c r="G56" s="1953">
        <f t="shared" si="0"/>
        <v>233472</v>
      </c>
      <c r="H56" s="1953"/>
      <c r="I56" s="533"/>
      <c r="J56" s="514"/>
      <c r="K56" s="501"/>
      <c r="L56" s="460"/>
    </row>
    <row r="57" spans="1:12" ht="14.25">
      <c r="A57" s="303"/>
      <c r="B57" s="373"/>
      <c r="C57" s="555" t="s">
        <v>261</v>
      </c>
      <c r="D57" s="557">
        <v>12.5</v>
      </c>
      <c r="E57" s="1950">
        <f>Attach3B!M17</f>
        <v>0</v>
      </c>
      <c r="F57" s="1951"/>
      <c r="G57" s="1953">
        <f t="shared" si="0"/>
        <v>0</v>
      </c>
      <c r="H57" s="1953"/>
      <c r="I57" s="533"/>
      <c r="J57" s="514"/>
      <c r="K57" s="501"/>
      <c r="L57" s="460"/>
    </row>
    <row r="58" spans="1:12" ht="14.25">
      <c r="A58" s="303"/>
      <c r="B58" s="373"/>
      <c r="C58" s="555" t="s">
        <v>262</v>
      </c>
      <c r="D58" s="557">
        <v>17.5</v>
      </c>
      <c r="E58" s="1950">
        <f>Attach3B!M18</f>
        <v>1087</v>
      </c>
      <c r="F58" s="1951"/>
      <c r="G58" s="1953">
        <f t="shared" si="0"/>
        <v>228270</v>
      </c>
      <c r="H58" s="1953"/>
      <c r="I58" s="533"/>
      <c r="J58" s="514"/>
      <c r="K58" s="501"/>
      <c r="L58" s="460"/>
    </row>
    <row r="59" spans="1:12" ht="14.25">
      <c r="A59" s="467"/>
      <c r="B59" s="548"/>
      <c r="C59" s="555" t="s">
        <v>263</v>
      </c>
      <c r="D59" s="557">
        <v>37.5</v>
      </c>
      <c r="E59" s="1950">
        <f>Attach3B!M19</f>
        <v>945</v>
      </c>
      <c r="F59" s="1951"/>
      <c r="G59" s="1953">
        <f t="shared" si="0"/>
        <v>425250</v>
      </c>
      <c r="H59" s="1953"/>
      <c r="I59" s="533"/>
      <c r="J59" s="514"/>
      <c r="K59" s="501"/>
      <c r="L59" s="460"/>
    </row>
    <row r="60" spans="1:12" ht="14.25">
      <c r="A60" s="460"/>
      <c r="B60" s="548"/>
      <c r="C60" s="555" t="s">
        <v>264</v>
      </c>
      <c r="D60" s="557">
        <v>0</v>
      </c>
      <c r="E60" s="1950">
        <f>Attach3B!M20</f>
        <v>0</v>
      </c>
      <c r="F60" s="1951"/>
      <c r="G60" s="1953">
        <f t="shared" si="0"/>
        <v>0</v>
      </c>
      <c r="H60" s="1953"/>
      <c r="I60" s="533"/>
      <c r="J60" s="514"/>
      <c r="K60" s="501"/>
      <c r="L60" s="460"/>
    </row>
    <row r="61" spans="1:12" ht="14.25">
      <c r="A61" s="460"/>
      <c r="B61" s="548"/>
      <c r="C61" s="555" t="s">
        <v>265</v>
      </c>
      <c r="D61" s="557">
        <v>125</v>
      </c>
      <c r="E61" s="1950">
        <f>Attach3B!M21</f>
        <v>177</v>
      </c>
      <c r="F61" s="1951"/>
      <c r="G61" s="1953">
        <f t="shared" si="0"/>
        <v>265500</v>
      </c>
      <c r="H61" s="1953"/>
      <c r="I61" s="533"/>
      <c r="J61" s="514"/>
      <c r="K61" s="501"/>
      <c r="L61" s="460"/>
    </row>
    <row r="62" spans="1:12" ht="14.25">
      <c r="A62" s="460"/>
      <c r="B62" s="548"/>
      <c r="C62" s="555" t="s">
        <v>266</v>
      </c>
      <c r="D62" s="557">
        <v>275</v>
      </c>
      <c r="E62" s="1950">
        <f>Attach3B!M22</f>
        <v>92</v>
      </c>
      <c r="F62" s="1951"/>
      <c r="G62" s="1953">
        <f t="shared" si="0"/>
        <v>303600</v>
      </c>
      <c r="H62" s="1953"/>
      <c r="I62" s="489"/>
      <c r="J62" s="514"/>
      <c r="K62" s="501"/>
      <c r="L62" s="460"/>
    </row>
    <row r="63" spans="1:12" ht="14.25">
      <c r="A63" s="460"/>
      <c r="B63" s="548"/>
      <c r="C63" s="555" t="s">
        <v>267</v>
      </c>
      <c r="D63" s="557">
        <v>500</v>
      </c>
      <c r="E63" s="1950">
        <f>Attach3B!M23</f>
        <v>25</v>
      </c>
      <c r="F63" s="1951"/>
      <c r="G63" s="1953">
        <f t="shared" si="0"/>
        <v>150000</v>
      </c>
      <c r="H63" s="1953"/>
      <c r="I63" s="489"/>
      <c r="J63" s="514"/>
      <c r="K63" s="501"/>
      <c r="L63" s="460"/>
    </row>
    <row r="64" spans="1:12" ht="14.25">
      <c r="A64" s="460"/>
      <c r="B64" s="548"/>
      <c r="C64" s="555" t="s">
        <v>268</v>
      </c>
      <c r="D64" s="557">
        <v>1000</v>
      </c>
      <c r="E64" s="1950">
        <f>Attach3B!M24</f>
        <v>6</v>
      </c>
      <c r="F64" s="1951"/>
      <c r="G64" s="1953">
        <f t="shared" si="0"/>
        <v>72000</v>
      </c>
      <c r="H64" s="1953"/>
      <c r="I64" s="489"/>
      <c r="J64" s="514"/>
      <c r="K64" s="501"/>
      <c r="L64" s="460"/>
    </row>
    <row r="65" spans="1:12" ht="14.25">
      <c r="A65" s="460"/>
      <c r="B65" s="548"/>
      <c r="C65" s="555" t="s">
        <v>269</v>
      </c>
      <c r="D65" s="557">
        <v>1750</v>
      </c>
      <c r="E65" s="1950">
        <f>Attach3B!M25</f>
        <v>5</v>
      </c>
      <c r="F65" s="1951"/>
      <c r="G65" s="1953">
        <f t="shared" si="0"/>
        <v>105000</v>
      </c>
      <c r="H65" s="1953"/>
      <c r="I65" s="489"/>
      <c r="J65" s="514"/>
      <c r="K65" s="501"/>
      <c r="L65" s="460"/>
    </row>
    <row r="66" spans="1:12" ht="14.25">
      <c r="A66" s="460"/>
      <c r="B66" s="548"/>
      <c r="C66" s="555" t="s">
        <v>270</v>
      </c>
      <c r="D66" s="557">
        <v>2500</v>
      </c>
      <c r="E66" s="1958">
        <f>Attach3B!M26</f>
        <v>0</v>
      </c>
      <c r="F66" s="1959"/>
      <c r="G66" s="1955">
        <f t="shared" si="0"/>
        <v>0</v>
      </c>
      <c r="H66" s="1955"/>
      <c r="I66" s="489"/>
      <c r="J66" s="514"/>
      <c r="K66" s="501"/>
      <c r="L66" s="460"/>
    </row>
    <row r="67" spans="1:12" ht="14.25">
      <c r="A67" s="460"/>
      <c r="B67" s="548"/>
      <c r="C67" s="519"/>
      <c r="D67" s="519"/>
      <c r="E67" s="558"/>
      <c r="F67" s="519"/>
      <c r="G67" s="559"/>
      <c r="H67" s="560"/>
      <c r="I67" s="489"/>
      <c r="J67" s="514"/>
      <c r="K67" s="501"/>
      <c r="L67" s="460"/>
    </row>
    <row r="68" spans="1:12" ht="15" thickBot="1">
      <c r="A68" s="467"/>
      <c r="B68" s="548"/>
      <c r="C68" s="561" t="s">
        <v>352</v>
      </c>
      <c r="D68" s="519"/>
      <c r="E68" s="1952">
        <f>SUM(E54:E66)</f>
        <v>66770</v>
      </c>
      <c r="F68" s="1952"/>
      <c r="G68" s="1954">
        <f>ROUND(SUM(G54:G66),0)</f>
        <v>2982186</v>
      </c>
      <c r="H68" s="1954"/>
      <c r="I68" s="489"/>
      <c r="J68" s="514"/>
      <c r="K68" s="501"/>
      <c r="L68" s="460"/>
    </row>
    <row r="69" spans="1:12" ht="15" thickTop="1">
      <c r="A69" s="460"/>
      <c r="B69" s="548"/>
      <c r="C69" s="519"/>
      <c r="D69" s="519"/>
      <c r="E69" s="562"/>
      <c r="F69" s="519"/>
      <c r="G69" s="559"/>
      <c r="H69" s="560"/>
      <c r="I69" s="489"/>
      <c r="J69" s="514"/>
      <c r="K69" s="501"/>
      <c r="L69" s="460"/>
    </row>
    <row r="70" spans="1:12" s="89" customFormat="1" ht="14.25">
      <c r="A70" s="472"/>
      <c r="B70" s="549"/>
      <c r="C70" s="561" t="s">
        <v>353</v>
      </c>
      <c r="D70" s="563"/>
      <c r="E70" s="563"/>
      <c r="F70" s="519"/>
      <c r="G70" s="1953">
        <f>IF(ISERROR($D$50*E70*D70),0,$D$50*E70*D70)</f>
        <v>0</v>
      </c>
      <c r="H70" s="1953"/>
      <c r="I70" s="489"/>
      <c r="J70" s="514"/>
      <c r="K70" s="501"/>
      <c r="L70" s="467"/>
    </row>
    <row r="71" spans="1:12" s="89" customFormat="1" ht="14.25">
      <c r="A71" s="467"/>
      <c r="B71" s="548"/>
      <c r="C71" s="555"/>
      <c r="D71" s="563"/>
      <c r="E71" s="563"/>
      <c r="F71" s="564"/>
      <c r="G71" s="565"/>
      <c r="H71" s="560"/>
      <c r="I71" s="489"/>
      <c r="J71" s="514"/>
      <c r="K71" s="501"/>
      <c r="L71" s="467"/>
    </row>
    <row r="72" spans="1:12" ht="15" thickBot="1">
      <c r="A72" s="460"/>
      <c r="B72" s="548"/>
      <c r="C72" s="561" t="s">
        <v>354</v>
      </c>
      <c r="D72" s="563"/>
      <c r="E72" s="563"/>
      <c r="F72" s="559"/>
      <c r="G72" s="1954">
        <f>SUM(G67:G70)</f>
        <v>2982186</v>
      </c>
      <c r="H72" s="1954"/>
      <c r="I72" s="514"/>
      <c r="J72" s="514"/>
      <c r="K72" s="501"/>
      <c r="L72" s="460"/>
    </row>
    <row r="73" spans="1:12" ht="13.5" thickTop="1">
      <c r="A73" s="460"/>
      <c r="B73" s="548"/>
      <c r="C73" s="489"/>
      <c r="D73" s="529"/>
      <c r="E73" s="515"/>
      <c r="F73" s="515"/>
      <c r="G73" s="535"/>
      <c r="H73" s="536"/>
      <c r="I73" s="533"/>
      <c r="J73" s="489"/>
      <c r="K73" s="501"/>
      <c r="L73" s="460"/>
    </row>
    <row r="74" spans="1:12">
      <c r="A74" s="460"/>
      <c r="B74" s="548"/>
      <c r="C74" s="514"/>
      <c r="D74" s="537"/>
      <c r="E74" s="538"/>
      <c r="F74" s="539"/>
      <c r="G74" s="538"/>
      <c r="H74" s="540"/>
      <c r="I74" s="541"/>
      <c r="J74" s="514"/>
      <c r="K74" s="501"/>
      <c r="L74" s="460"/>
    </row>
    <row r="75" spans="1:12">
      <c r="A75" s="460"/>
      <c r="B75" s="548"/>
      <c r="C75" s="514"/>
      <c r="D75" s="537"/>
      <c r="E75" s="538"/>
      <c r="F75" s="539"/>
      <c r="G75" s="538"/>
      <c r="H75" s="540"/>
      <c r="I75" s="541"/>
      <c r="J75" s="514"/>
      <c r="K75" s="501"/>
      <c r="L75" s="460"/>
    </row>
    <row r="76" spans="1:12">
      <c r="A76" s="460"/>
      <c r="B76" s="548"/>
      <c r="C76" s="514"/>
      <c r="D76" s="514"/>
      <c r="E76" s="514"/>
      <c r="F76" s="542"/>
      <c r="G76" s="542"/>
      <c r="H76" s="514"/>
      <c r="I76" s="514"/>
      <c r="J76" s="543"/>
      <c r="K76" s="501"/>
      <c r="L76" s="460"/>
    </row>
    <row r="77" spans="1:12" ht="13.5" thickBot="1">
      <c r="A77" s="460"/>
      <c r="B77" s="550"/>
      <c r="C77" s="551"/>
      <c r="D77" s="551"/>
      <c r="E77" s="551"/>
      <c r="F77" s="551"/>
      <c r="G77" s="551"/>
      <c r="H77" s="551"/>
      <c r="I77" s="551"/>
      <c r="J77" s="551"/>
      <c r="K77" s="508"/>
      <c r="L77" s="460"/>
    </row>
    <row r="78" spans="1:12" ht="13.5" thickTop="1">
      <c r="A78" s="460"/>
      <c r="B78" s="460"/>
      <c r="C78" s="460"/>
      <c r="D78" s="460"/>
      <c r="E78" s="460"/>
      <c r="F78" s="460"/>
      <c r="G78" s="460"/>
      <c r="H78" s="460"/>
      <c r="I78" s="460"/>
      <c r="J78" s="460"/>
      <c r="K78" s="460"/>
      <c r="L78" s="460"/>
    </row>
    <row r="79" spans="1:12">
      <c r="A79" s="460"/>
      <c r="B79" s="460"/>
      <c r="C79" s="460"/>
      <c r="D79" s="460"/>
      <c r="E79" s="460"/>
      <c r="F79" s="460"/>
      <c r="G79" s="460"/>
      <c r="H79" s="460"/>
      <c r="I79" s="460"/>
      <c r="J79" s="460"/>
      <c r="K79" s="460"/>
      <c r="L79" s="460"/>
    </row>
    <row r="80" spans="1:12">
      <c r="A80" s="460"/>
      <c r="B80" s="460"/>
      <c r="C80" s="460"/>
      <c r="D80" s="460"/>
      <c r="E80" s="460"/>
      <c r="F80" s="460"/>
      <c r="G80" s="460"/>
      <c r="H80" s="460"/>
      <c r="I80" s="460"/>
      <c r="J80" s="460"/>
      <c r="K80" s="460"/>
      <c r="L80" s="460"/>
    </row>
    <row r="81" spans="1:12">
      <c r="A81" s="460"/>
      <c r="B81" s="460"/>
      <c r="C81" s="460"/>
      <c r="D81" s="460"/>
      <c r="E81" s="460"/>
      <c r="F81" s="460"/>
      <c r="G81" s="460"/>
      <c r="H81" s="460"/>
      <c r="I81" s="460"/>
      <c r="J81" s="460"/>
      <c r="K81" s="460"/>
      <c r="L81" s="460"/>
    </row>
    <row r="82" spans="1:12">
      <c r="A82" s="460"/>
      <c r="B82" s="460"/>
      <c r="C82" s="460"/>
      <c r="D82" s="460"/>
      <c r="E82" s="460"/>
      <c r="F82" s="460"/>
      <c r="G82" s="460"/>
      <c r="H82" s="460"/>
      <c r="I82" s="460"/>
      <c r="J82" s="460"/>
      <c r="K82" s="460"/>
      <c r="L82" s="460"/>
    </row>
    <row r="83" spans="1:12">
      <c r="A83" s="460"/>
      <c r="B83" s="460"/>
      <c r="C83" s="460"/>
      <c r="D83" s="460"/>
      <c r="E83" s="460"/>
      <c r="F83" s="460"/>
      <c r="G83" s="460"/>
      <c r="H83" s="460"/>
      <c r="I83" s="460"/>
      <c r="J83" s="460"/>
      <c r="K83" s="460"/>
      <c r="L83" s="460"/>
    </row>
    <row r="84" spans="1:12">
      <c r="A84" s="460"/>
      <c r="B84" s="460"/>
      <c r="C84" s="460"/>
      <c r="D84" s="460"/>
      <c r="E84" s="460"/>
      <c r="F84" s="460"/>
      <c r="G84" s="460"/>
      <c r="H84" s="460"/>
      <c r="I84" s="460"/>
      <c r="J84" s="460"/>
      <c r="K84" s="460"/>
      <c r="L84" s="460"/>
    </row>
    <row r="85" spans="1:12">
      <c r="A85" s="460"/>
      <c r="B85" s="460"/>
      <c r="C85" s="460"/>
      <c r="D85" s="460"/>
      <c r="E85" s="460"/>
      <c r="F85" s="460"/>
      <c r="G85" s="460"/>
      <c r="H85" s="460"/>
      <c r="I85" s="460"/>
      <c r="J85" s="460"/>
      <c r="K85" s="460"/>
      <c r="L85" s="460"/>
    </row>
    <row r="86" spans="1:12">
      <c r="A86" s="460"/>
      <c r="B86" s="460"/>
      <c r="C86" s="460"/>
      <c r="D86" s="460"/>
      <c r="E86" s="460"/>
      <c r="F86" s="460"/>
      <c r="G86" s="460"/>
      <c r="H86" s="460"/>
      <c r="I86" s="460"/>
      <c r="J86" s="460"/>
      <c r="K86" s="460"/>
      <c r="L86" s="460"/>
    </row>
    <row r="87" spans="1:12">
      <c r="A87" s="460"/>
      <c r="B87" s="460"/>
      <c r="C87" s="460"/>
      <c r="D87" s="460"/>
      <c r="E87" s="460"/>
      <c r="F87" s="460"/>
      <c r="G87" s="460"/>
      <c r="H87" s="460"/>
      <c r="I87" s="460"/>
      <c r="J87" s="460"/>
      <c r="K87" s="460"/>
      <c r="L87" s="460"/>
    </row>
    <row r="88" spans="1:12">
      <c r="A88" s="460"/>
      <c r="B88" s="460"/>
      <c r="C88" s="460"/>
      <c r="D88" s="460"/>
      <c r="E88" s="460"/>
      <c r="F88" s="460"/>
      <c r="G88" s="460"/>
      <c r="H88" s="460"/>
      <c r="I88" s="460"/>
      <c r="J88" s="460"/>
      <c r="K88" s="460"/>
      <c r="L88" s="460"/>
    </row>
    <row r="89" spans="1:12">
      <c r="A89" s="460"/>
      <c r="B89" s="460"/>
      <c r="C89" s="460"/>
      <c r="D89" s="460"/>
      <c r="E89" s="460"/>
      <c r="F89" s="460"/>
      <c r="G89" s="460"/>
      <c r="H89" s="460"/>
      <c r="I89" s="460"/>
      <c r="J89" s="460"/>
      <c r="K89" s="460"/>
      <c r="L89" s="460"/>
    </row>
    <row r="90" spans="1:12">
      <c r="A90" s="460"/>
      <c r="B90" s="460"/>
      <c r="C90" s="460"/>
      <c r="D90" s="460"/>
      <c r="E90" s="460"/>
      <c r="F90" s="460"/>
      <c r="G90" s="460"/>
      <c r="H90" s="460"/>
      <c r="I90" s="460"/>
      <c r="J90" s="460"/>
      <c r="K90" s="460"/>
      <c r="L90" s="460"/>
    </row>
    <row r="91" spans="1:12">
      <c r="A91" s="460"/>
      <c r="B91" s="460"/>
      <c r="C91" s="460"/>
      <c r="D91" s="460"/>
      <c r="E91" s="460"/>
      <c r="F91" s="460"/>
      <c r="G91" s="460"/>
      <c r="H91" s="460"/>
      <c r="I91" s="460"/>
      <c r="J91" s="460"/>
      <c r="K91" s="460"/>
      <c r="L91" s="460"/>
    </row>
    <row r="92" spans="1:12">
      <c r="A92" s="460"/>
      <c r="B92" s="460"/>
      <c r="C92" s="460"/>
      <c r="D92" s="460"/>
      <c r="E92" s="460"/>
      <c r="F92" s="460"/>
      <c r="G92" s="460"/>
      <c r="H92" s="460"/>
      <c r="I92" s="460"/>
      <c r="J92" s="460"/>
      <c r="K92" s="460"/>
      <c r="L92" s="460"/>
    </row>
    <row r="93" spans="1:12">
      <c r="A93" s="460"/>
      <c r="B93" s="460"/>
      <c r="C93" s="460"/>
      <c r="D93" s="460"/>
      <c r="E93" s="460"/>
      <c r="F93" s="460"/>
      <c r="G93" s="460"/>
      <c r="H93" s="460"/>
      <c r="I93" s="460"/>
      <c r="J93" s="460"/>
      <c r="K93" s="460"/>
      <c r="L93" s="460"/>
    </row>
    <row r="94" spans="1:12">
      <c r="A94" s="460"/>
      <c r="B94" s="460"/>
      <c r="C94" s="460"/>
      <c r="D94" s="460"/>
      <c r="E94" s="460"/>
      <c r="F94" s="460"/>
      <c r="G94" s="460"/>
      <c r="H94" s="460"/>
      <c r="I94" s="460"/>
      <c r="J94" s="460"/>
      <c r="K94" s="460"/>
      <c r="L94" s="460"/>
    </row>
    <row r="95" spans="1:12" s="89" customFormat="1">
      <c r="A95" s="467"/>
      <c r="B95" s="467"/>
      <c r="C95" s="467"/>
      <c r="D95" s="467"/>
      <c r="E95" s="467"/>
      <c r="F95" s="467"/>
      <c r="G95" s="467"/>
      <c r="H95" s="467"/>
      <c r="I95" s="467"/>
      <c r="J95" s="467"/>
      <c r="K95" s="467"/>
      <c r="L95" s="467"/>
    </row>
    <row r="96" spans="1:12" s="89" customFormat="1">
      <c r="A96" s="467"/>
      <c r="B96" s="467"/>
      <c r="C96" s="467"/>
      <c r="D96" s="467"/>
      <c r="E96" s="467"/>
      <c r="F96" s="467"/>
      <c r="G96" s="467"/>
      <c r="H96" s="467"/>
      <c r="I96" s="467"/>
      <c r="J96" s="467"/>
      <c r="K96" s="467"/>
      <c r="L96" s="467"/>
    </row>
    <row r="97" spans="1:12" s="89" customFormat="1" ht="15" customHeight="1">
      <c r="A97" s="467"/>
      <c r="B97" s="467"/>
      <c r="C97" s="467"/>
      <c r="D97" s="467"/>
      <c r="E97" s="467"/>
      <c r="F97" s="467"/>
      <c r="G97" s="467"/>
      <c r="H97" s="467"/>
      <c r="I97" s="467"/>
      <c r="J97" s="467"/>
      <c r="K97" s="467"/>
      <c r="L97" s="467"/>
    </row>
    <row r="98" spans="1:12" s="89" customFormat="1">
      <c r="A98" s="467"/>
      <c r="B98" s="467"/>
      <c r="C98" s="467"/>
      <c r="D98" s="467"/>
      <c r="E98" s="467"/>
      <c r="F98" s="467"/>
      <c r="G98" s="467"/>
      <c r="H98" s="467"/>
      <c r="I98" s="467"/>
      <c r="J98" s="467"/>
      <c r="K98" s="467"/>
      <c r="L98" s="467"/>
    </row>
    <row r="99" spans="1:12" s="89" customFormat="1">
      <c r="A99" s="467"/>
      <c r="B99" s="467"/>
      <c r="C99" s="467"/>
      <c r="D99" s="467"/>
      <c r="E99" s="467"/>
      <c r="F99" s="467"/>
      <c r="G99" s="467"/>
      <c r="H99" s="467"/>
      <c r="I99" s="467"/>
      <c r="J99" s="467"/>
      <c r="K99" s="467"/>
      <c r="L99" s="467"/>
    </row>
    <row r="100" spans="1:12" s="89" customFormat="1">
      <c r="A100" s="467"/>
      <c r="B100" s="467"/>
      <c r="C100" s="466"/>
      <c r="D100" s="467"/>
      <c r="E100" s="467"/>
      <c r="F100" s="467"/>
      <c r="G100" s="467"/>
      <c r="H100" s="467"/>
      <c r="I100" s="471"/>
      <c r="J100" s="467"/>
      <c r="K100" s="467"/>
      <c r="L100" s="467"/>
    </row>
    <row r="101" spans="1:12" s="89" customFormat="1">
      <c r="A101" s="467"/>
      <c r="B101" s="467"/>
      <c r="C101" s="467"/>
      <c r="D101" s="467"/>
      <c r="E101" s="467"/>
      <c r="F101" s="467"/>
      <c r="G101" s="467"/>
      <c r="H101" s="467"/>
      <c r="I101" s="467"/>
      <c r="J101" s="473"/>
      <c r="K101" s="467"/>
      <c r="L101" s="467"/>
    </row>
    <row r="102" spans="1:12">
      <c r="A102" s="460"/>
      <c r="B102" s="460"/>
      <c r="C102" s="460"/>
      <c r="D102" s="460"/>
      <c r="E102" s="460"/>
      <c r="F102" s="460"/>
      <c r="G102" s="460"/>
      <c r="H102" s="460"/>
      <c r="I102" s="460"/>
      <c r="J102" s="460"/>
      <c r="K102" s="460"/>
      <c r="L102" s="460"/>
    </row>
    <row r="103" spans="1:12">
      <c r="A103" s="460"/>
      <c r="B103" s="460"/>
      <c r="C103" s="460"/>
      <c r="D103" s="460"/>
      <c r="E103" s="460"/>
      <c r="F103" s="460"/>
      <c r="G103" s="460"/>
      <c r="H103" s="460"/>
      <c r="I103" s="460"/>
      <c r="J103" s="460"/>
      <c r="K103" s="460"/>
      <c r="L103" s="460"/>
    </row>
    <row r="104" spans="1:12">
      <c r="A104" s="460"/>
      <c r="B104" s="460"/>
      <c r="C104" s="460"/>
      <c r="D104" s="460"/>
      <c r="E104" s="460"/>
      <c r="F104" s="460"/>
      <c r="G104" s="460"/>
      <c r="H104" s="460"/>
      <c r="I104" s="460"/>
      <c r="J104" s="460"/>
      <c r="K104" s="460"/>
      <c r="L104" s="460"/>
    </row>
    <row r="105" spans="1:12">
      <c r="A105" s="460"/>
      <c r="B105" s="460"/>
      <c r="C105" s="460"/>
      <c r="D105" s="460"/>
      <c r="E105" s="460"/>
      <c r="F105" s="460"/>
      <c r="G105" s="460"/>
      <c r="H105" s="460"/>
      <c r="I105" s="460"/>
      <c r="J105" s="460"/>
      <c r="K105" s="460"/>
      <c r="L105" s="460"/>
    </row>
    <row r="106" spans="1:12">
      <c r="A106" s="460"/>
      <c r="B106" s="460"/>
      <c r="C106" s="460"/>
      <c r="D106" s="460"/>
      <c r="E106" s="460"/>
      <c r="F106" s="460"/>
      <c r="G106" s="460"/>
      <c r="H106" s="460"/>
      <c r="I106" s="460"/>
      <c r="J106" s="460"/>
      <c r="K106" s="460"/>
      <c r="L106" s="460"/>
    </row>
    <row r="107" spans="1:12">
      <c r="A107" s="460"/>
      <c r="B107" s="460"/>
      <c r="C107" s="460"/>
      <c r="D107" s="460"/>
      <c r="E107" s="460"/>
      <c r="F107" s="460"/>
      <c r="G107" s="460"/>
      <c r="H107" s="460"/>
      <c r="I107" s="460"/>
      <c r="J107" s="460"/>
      <c r="K107" s="460"/>
      <c r="L107" s="460"/>
    </row>
    <row r="108" spans="1:12">
      <c r="A108" s="460"/>
      <c r="B108" s="460"/>
      <c r="C108" s="460"/>
      <c r="D108" s="460"/>
      <c r="E108" s="460"/>
      <c r="F108" s="460"/>
      <c r="G108" s="460"/>
      <c r="H108" s="460"/>
      <c r="I108" s="460"/>
      <c r="J108" s="460"/>
      <c r="K108" s="460"/>
      <c r="L108" s="460"/>
    </row>
    <row r="109" spans="1:12">
      <c r="A109" s="460"/>
      <c r="B109" s="460"/>
      <c r="C109" s="460"/>
      <c r="D109" s="460"/>
      <c r="E109" s="460"/>
      <c r="F109" s="460"/>
      <c r="G109" s="460"/>
      <c r="H109" s="460"/>
      <c r="I109" s="460"/>
      <c r="J109" s="460"/>
      <c r="K109" s="460"/>
      <c r="L109" s="460"/>
    </row>
    <row r="110" spans="1:12">
      <c r="A110" s="460"/>
      <c r="B110" s="460"/>
      <c r="C110" s="460"/>
      <c r="D110" s="460"/>
      <c r="E110" s="460"/>
      <c r="F110" s="460"/>
      <c r="G110" s="460"/>
      <c r="H110" s="460"/>
      <c r="I110" s="460"/>
      <c r="J110" s="460"/>
      <c r="K110" s="460"/>
      <c r="L110" s="460"/>
    </row>
    <row r="111" spans="1:12">
      <c r="A111" s="460"/>
      <c r="B111" s="460"/>
      <c r="C111" s="460"/>
      <c r="D111" s="460"/>
      <c r="E111" s="460"/>
      <c r="F111" s="460"/>
      <c r="G111" s="460"/>
      <c r="H111" s="460"/>
      <c r="I111" s="460"/>
      <c r="J111" s="460"/>
      <c r="K111" s="460"/>
      <c r="L111" s="460"/>
    </row>
    <row r="112" spans="1:12">
      <c r="A112" s="460"/>
      <c r="B112" s="460"/>
      <c r="C112" s="460"/>
      <c r="D112" s="460"/>
      <c r="E112" s="460"/>
      <c r="F112" s="460"/>
      <c r="G112" s="460"/>
      <c r="H112" s="460"/>
      <c r="I112" s="460"/>
      <c r="J112" s="460"/>
      <c r="K112" s="460"/>
      <c r="L112" s="460"/>
    </row>
    <row r="113" spans="1:12">
      <c r="A113" s="460"/>
      <c r="B113" s="460"/>
      <c r="C113" s="460"/>
      <c r="D113" s="460"/>
      <c r="E113" s="460"/>
      <c r="F113" s="460"/>
      <c r="G113" s="460"/>
      <c r="H113" s="460"/>
      <c r="I113" s="460"/>
      <c r="J113" s="460"/>
      <c r="K113" s="460"/>
      <c r="L113" s="460"/>
    </row>
    <row r="114" spans="1:12">
      <c r="A114" s="460"/>
      <c r="B114" s="460"/>
      <c r="C114" s="460"/>
      <c r="D114" s="460"/>
      <c r="E114" s="460"/>
      <c r="F114" s="460"/>
      <c r="G114" s="460"/>
      <c r="H114" s="460"/>
      <c r="I114" s="460"/>
      <c r="J114" s="460"/>
      <c r="K114" s="460"/>
      <c r="L114" s="460"/>
    </row>
    <row r="115" spans="1:12">
      <c r="A115" s="460"/>
      <c r="B115" s="460"/>
      <c r="C115" s="460"/>
      <c r="D115" s="460"/>
      <c r="E115" s="460"/>
      <c r="F115" s="460"/>
      <c r="G115" s="460"/>
      <c r="H115" s="460"/>
      <c r="I115" s="460"/>
      <c r="J115" s="460"/>
      <c r="K115" s="460"/>
      <c r="L115" s="460"/>
    </row>
    <row r="116" spans="1:12">
      <c r="A116" s="460"/>
      <c r="B116" s="460"/>
      <c r="C116" s="460"/>
      <c r="D116" s="460"/>
      <c r="E116" s="460"/>
      <c r="F116" s="460"/>
      <c r="G116" s="460"/>
      <c r="H116" s="460"/>
      <c r="I116" s="460"/>
      <c r="J116" s="460"/>
      <c r="K116" s="460"/>
      <c r="L116" s="460"/>
    </row>
    <row r="117" spans="1:12">
      <c r="A117" s="460"/>
      <c r="B117" s="460"/>
      <c r="C117" s="460"/>
      <c r="D117" s="460"/>
      <c r="E117" s="460"/>
      <c r="F117" s="460"/>
      <c r="G117" s="460"/>
      <c r="H117" s="460"/>
      <c r="I117" s="460"/>
      <c r="J117" s="460"/>
      <c r="K117" s="460"/>
      <c r="L117" s="460"/>
    </row>
    <row r="118" spans="1:12">
      <c r="A118" s="460"/>
      <c r="B118" s="460"/>
      <c r="C118" s="460"/>
      <c r="D118" s="460"/>
      <c r="E118" s="460"/>
      <c r="F118" s="460"/>
      <c r="G118" s="460"/>
      <c r="H118" s="460"/>
      <c r="I118" s="460"/>
      <c r="J118" s="460"/>
      <c r="K118" s="460"/>
      <c r="L118" s="460"/>
    </row>
    <row r="119" spans="1:12">
      <c r="A119" s="460"/>
      <c r="B119" s="460"/>
      <c r="C119" s="460"/>
      <c r="D119" s="460"/>
      <c r="E119" s="460"/>
      <c r="F119" s="460"/>
      <c r="G119" s="460"/>
      <c r="H119" s="460"/>
      <c r="I119" s="460"/>
      <c r="J119" s="460"/>
      <c r="K119" s="460"/>
      <c r="L119" s="460"/>
    </row>
    <row r="120" spans="1:12">
      <c r="A120" s="460"/>
      <c r="B120" s="460"/>
      <c r="C120" s="460"/>
      <c r="D120" s="460"/>
      <c r="E120" s="460"/>
      <c r="F120" s="460"/>
      <c r="G120" s="460"/>
      <c r="H120" s="460"/>
      <c r="I120" s="460"/>
      <c r="J120" s="460"/>
      <c r="K120" s="460"/>
      <c r="L120" s="460"/>
    </row>
    <row r="121" spans="1:12">
      <c r="A121" s="460"/>
      <c r="B121" s="460"/>
      <c r="C121" s="460"/>
      <c r="D121" s="460"/>
      <c r="E121" s="460"/>
      <c r="F121" s="460"/>
      <c r="G121" s="460"/>
      <c r="H121" s="460"/>
      <c r="I121" s="460"/>
      <c r="J121" s="460"/>
      <c r="K121" s="460"/>
      <c r="L121" s="460"/>
    </row>
    <row r="122" spans="1:12">
      <c r="A122" s="460"/>
      <c r="B122" s="460"/>
      <c r="C122" s="460"/>
      <c r="D122" s="460"/>
      <c r="E122" s="460"/>
      <c r="F122" s="460"/>
      <c r="G122" s="460"/>
      <c r="H122" s="460"/>
      <c r="I122" s="460"/>
      <c r="J122" s="460"/>
      <c r="K122" s="460"/>
      <c r="L122" s="460"/>
    </row>
    <row r="123" spans="1:12">
      <c r="A123" s="460"/>
      <c r="B123" s="460"/>
      <c r="C123" s="460"/>
      <c r="D123" s="460"/>
      <c r="E123" s="460"/>
      <c r="F123" s="460"/>
      <c r="G123" s="460"/>
      <c r="H123" s="460"/>
      <c r="I123" s="460"/>
      <c r="J123" s="460"/>
      <c r="K123" s="460"/>
      <c r="L123" s="460"/>
    </row>
    <row r="124" spans="1:12">
      <c r="A124" s="460"/>
      <c r="B124" s="460"/>
      <c r="C124" s="460"/>
      <c r="D124" s="460"/>
      <c r="E124" s="460"/>
      <c r="F124" s="460"/>
      <c r="G124" s="460"/>
      <c r="H124" s="460"/>
      <c r="I124" s="460"/>
      <c r="J124" s="460"/>
      <c r="K124" s="460"/>
      <c r="L124" s="460"/>
    </row>
    <row r="125" spans="1:12">
      <c r="A125" s="460"/>
      <c r="B125" s="460"/>
      <c r="C125" s="460"/>
      <c r="D125" s="460"/>
      <c r="E125" s="460"/>
      <c r="F125" s="460"/>
      <c r="G125" s="460"/>
      <c r="H125" s="460"/>
      <c r="I125" s="460"/>
      <c r="J125" s="460"/>
      <c r="K125" s="460"/>
      <c r="L125" s="460"/>
    </row>
    <row r="126" spans="1:12">
      <c r="A126" s="460"/>
      <c r="B126" s="460"/>
      <c r="C126" s="460"/>
      <c r="D126" s="460"/>
      <c r="E126" s="460"/>
      <c r="F126" s="460"/>
      <c r="G126" s="460"/>
      <c r="H126" s="460"/>
      <c r="I126" s="460"/>
      <c r="J126" s="460"/>
      <c r="K126" s="460"/>
      <c r="L126" s="460"/>
    </row>
    <row r="127" spans="1:12">
      <c r="A127" s="460"/>
      <c r="B127" s="460"/>
      <c r="C127" s="460"/>
      <c r="D127" s="460"/>
      <c r="E127" s="460"/>
      <c r="F127" s="460"/>
      <c r="G127" s="460"/>
      <c r="H127" s="460"/>
      <c r="I127" s="460"/>
      <c r="J127" s="460"/>
      <c r="K127" s="460"/>
      <c r="L127" s="460"/>
    </row>
    <row r="128" spans="1:12">
      <c r="A128" s="460"/>
      <c r="B128" s="460"/>
      <c r="C128" s="460"/>
      <c r="D128" s="460"/>
      <c r="E128" s="460"/>
      <c r="F128" s="460"/>
      <c r="G128" s="460"/>
      <c r="H128" s="460"/>
      <c r="I128" s="460"/>
      <c r="J128" s="460"/>
      <c r="K128" s="460"/>
      <c r="L128" s="460"/>
    </row>
    <row r="129" spans="1:12">
      <c r="A129" s="460"/>
      <c r="B129" s="460"/>
      <c r="C129" s="460"/>
      <c r="D129" s="460"/>
      <c r="E129" s="460"/>
      <c r="F129" s="460"/>
      <c r="G129" s="460"/>
      <c r="H129" s="460"/>
      <c r="I129" s="460"/>
      <c r="J129" s="460"/>
      <c r="K129" s="460"/>
      <c r="L129" s="460"/>
    </row>
    <row r="130" spans="1:12">
      <c r="A130" s="460"/>
      <c r="B130" s="460"/>
      <c r="C130" s="460"/>
      <c r="D130" s="460"/>
      <c r="E130" s="460"/>
      <c r="F130" s="460"/>
      <c r="G130" s="460"/>
      <c r="H130" s="460"/>
      <c r="I130" s="460"/>
      <c r="J130" s="460"/>
      <c r="K130" s="460"/>
      <c r="L130" s="460"/>
    </row>
    <row r="131" spans="1:12">
      <c r="A131" s="460"/>
      <c r="B131" s="460"/>
      <c r="C131" s="460"/>
      <c r="D131" s="460"/>
      <c r="E131" s="460"/>
      <c r="F131" s="460"/>
      <c r="G131" s="460"/>
      <c r="H131" s="460"/>
      <c r="I131" s="460"/>
      <c r="J131" s="460"/>
      <c r="K131" s="460"/>
      <c r="L131" s="460"/>
    </row>
    <row r="132" spans="1:12">
      <c r="A132" s="460"/>
      <c r="B132" s="460"/>
      <c r="C132" s="460"/>
      <c r="D132" s="460"/>
      <c r="E132" s="460"/>
      <c r="F132" s="460"/>
      <c r="G132" s="460"/>
      <c r="H132" s="460"/>
      <c r="I132" s="460"/>
      <c r="J132" s="460"/>
      <c r="K132" s="460"/>
      <c r="L132" s="460"/>
    </row>
    <row r="133" spans="1:12">
      <c r="A133" s="460"/>
      <c r="B133" s="460"/>
      <c r="C133" s="460"/>
      <c r="D133" s="460"/>
      <c r="E133" s="460"/>
      <c r="F133" s="460"/>
      <c r="G133" s="460"/>
      <c r="H133" s="460"/>
      <c r="I133" s="460"/>
      <c r="J133" s="460"/>
      <c r="K133" s="460"/>
      <c r="L133" s="460"/>
    </row>
    <row r="134" spans="1:12">
      <c r="A134" s="460"/>
      <c r="B134" s="460"/>
      <c r="C134" s="460"/>
      <c r="D134" s="460"/>
      <c r="E134" s="460"/>
      <c r="F134" s="460"/>
      <c r="G134" s="460"/>
      <c r="H134" s="460"/>
      <c r="I134" s="460"/>
      <c r="J134" s="460"/>
      <c r="K134" s="460"/>
      <c r="L134" s="460"/>
    </row>
    <row r="135" spans="1:12">
      <c r="A135" s="460"/>
      <c r="B135" s="460"/>
      <c r="C135" s="460"/>
      <c r="D135" s="460"/>
      <c r="E135" s="460"/>
      <c r="F135" s="460"/>
      <c r="G135" s="460"/>
      <c r="H135" s="460"/>
      <c r="I135" s="460"/>
      <c r="J135" s="460"/>
      <c r="K135" s="460"/>
      <c r="L135" s="460"/>
    </row>
    <row r="136" spans="1:12">
      <c r="A136" s="460"/>
      <c r="B136" s="460"/>
      <c r="C136" s="460"/>
      <c r="D136" s="460"/>
      <c r="E136" s="460"/>
      <c r="F136" s="460"/>
      <c r="G136" s="460"/>
      <c r="H136" s="460"/>
      <c r="I136" s="460"/>
      <c r="J136" s="460"/>
      <c r="K136" s="460"/>
      <c r="L136" s="460"/>
    </row>
    <row r="137" spans="1:12">
      <c r="A137" s="460"/>
      <c r="B137" s="460"/>
      <c r="C137" s="460"/>
      <c r="D137" s="460"/>
      <c r="E137" s="460"/>
      <c r="F137" s="460"/>
      <c r="G137" s="460"/>
      <c r="H137" s="460"/>
      <c r="I137" s="460"/>
      <c r="J137" s="460"/>
      <c r="K137" s="460"/>
      <c r="L137" s="460"/>
    </row>
    <row r="138" spans="1:12">
      <c r="A138" s="460"/>
      <c r="B138" s="460"/>
      <c r="C138" s="460"/>
      <c r="D138" s="460"/>
      <c r="E138" s="460"/>
      <c r="F138" s="460"/>
      <c r="G138" s="460"/>
      <c r="H138" s="460"/>
      <c r="I138" s="460"/>
      <c r="J138" s="460"/>
      <c r="K138" s="460"/>
      <c r="L138" s="460"/>
    </row>
    <row r="139" spans="1:12">
      <c r="A139" s="460"/>
      <c r="B139" s="460"/>
      <c r="C139" s="460"/>
      <c r="D139" s="460"/>
      <c r="E139" s="460"/>
      <c r="F139" s="460"/>
      <c r="G139" s="460"/>
      <c r="H139" s="460"/>
      <c r="I139" s="460"/>
      <c r="J139" s="460"/>
      <c r="K139" s="460"/>
      <c r="L139" s="460"/>
    </row>
    <row r="140" spans="1:12">
      <c r="A140" s="460"/>
      <c r="B140" s="460"/>
      <c r="C140" s="460"/>
      <c r="D140" s="460"/>
      <c r="E140" s="460"/>
      <c r="F140" s="460"/>
      <c r="G140" s="460"/>
      <c r="H140" s="460"/>
      <c r="I140" s="460"/>
      <c r="J140" s="460"/>
      <c r="K140" s="460"/>
      <c r="L140" s="460"/>
    </row>
    <row r="141" spans="1:12">
      <c r="A141" s="460"/>
      <c r="B141" s="460"/>
      <c r="C141" s="460"/>
      <c r="D141" s="460"/>
      <c r="E141" s="460"/>
      <c r="F141" s="460"/>
      <c r="G141" s="460"/>
      <c r="H141" s="460"/>
      <c r="I141" s="460"/>
      <c r="J141" s="460"/>
      <c r="K141" s="460"/>
      <c r="L141" s="460"/>
    </row>
    <row r="142" spans="1:12">
      <c r="A142" s="460"/>
      <c r="B142" s="460"/>
      <c r="C142" s="460"/>
      <c r="D142" s="460"/>
      <c r="E142" s="460"/>
      <c r="F142" s="460"/>
      <c r="G142" s="460"/>
      <c r="H142" s="460"/>
      <c r="I142" s="460"/>
      <c r="J142" s="460"/>
      <c r="K142" s="460"/>
      <c r="L142" s="460"/>
    </row>
    <row r="143" spans="1:12">
      <c r="A143" s="460"/>
      <c r="B143" s="460"/>
      <c r="C143" s="460"/>
      <c r="D143" s="460"/>
      <c r="E143" s="460"/>
      <c r="F143" s="460"/>
      <c r="G143" s="460"/>
      <c r="H143" s="460"/>
      <c r="I143" s="460"/>
      <c r="J143" s="460"/>
      <c r="K143" s="460"/>
      <c r="L143" s="460"/>
    </row>
    <row r="144" spans="1:12">
      <c r="A144" s="460"/>
      <c r="B144" s="460"/>
      <c r="C144" s="460"/>
      <c r="D144" s="460"/>
      <c r="E144" s="460"/>
      <c r="F144" s="460"/>
      <c r="G144" s="460"/>
      <c r="H144" s="460"/>
      <c r="I144" s="460"/>
      <c r="J144" s="460"/>
      <c r="K144" s="460"/>
      <c r="L144" s="460"/>
    </row>
    <row r="145" spans="1:12">
      <c r="A145" s="460"/>
      <c r="B145" s="460"/>
      <c r="C145" s="460"/>
      <c r="D145" s="460"/>
      <c r="E145" s="460"/>
      <c r="F145" s="460"/>
      <c r="G145" s="460"/>
      <c r="H145" s="460"/>
      <c r="I145" s="460"/>
      <c r="J145" s="460"/>
      <c r="K145" s="460"/>
      <c r="L145" s="460"/>
    </row>
    <row r="146" spans="1:12">
      <c r="A146" s="460"/>
      <c r="B146" s="460"/>
      <c r="C146" s="460"/>
      <c r="D146" s="460"/>
      <c r="E146" s="460"/>
      <c r="F146" s="460"/>
      <c r="G146" s="460"/>
      <c r="H146" s="460"/>
      <c r="I146" s="460"/>
      <c r="J146" s="460"/>
      <c r="K146" s="460"/>
      <c r="L146" s="460"/>
    </row>
    <row r="147" spans="1:12">
      <c r="A147" s="460"/>
      <c r="B147" s="460"/>
      <c r="C147" s="460"/>
      <c r="D147" s="460"/>
      <c r="E147" s="460"/>
      <c r="F147" s="460"/>
      <c r="G147" s="460"/>
      <c r="H147" s="460"/>
      <c r="I147" s="460"/>
      <c r="J147" s="460"/>
      <c r="K147" s="460"/>
      <c r="L147" s="460"/>
    </row>
    <row r="148" spans="1:12">
      <c r="A148" s="460"/>
      <c r="B148" s="460"/>
      <c r="C148" s="460"/>
      <c r="D148" s="460"/>
      <c r="E148" s="460"/>
      <c r="F148" s="460"/>
      <c r="G148" s="460"/>
      <c r="H148" s="460"/>
      <c r="I148" s="460"/>
      <c r="J148" s="460"/>
      <c r="K148" s="460"/>
      <c r="L148" s="460"/>
    </row>
    <row r="149" spans="1:12">
      <c r="A149" s="460"/>
      <c r="B149" s="460"/>
      <c r="C149" s="460"/>
      <c r="D149" s="460"/>
      <c r="E149" s="460"/>
      <c r="F149" s="460"/>
      <c r="G149" s="460"/>
      <c r="H149" s="460"/>
      <c r="I149" s="460"/>
      <c r="J149" s="460"/>
      <c r="K149" s="460"/>
      <c r="L149" s="460"/>
    </row>
    <row r="150" spans="1:12">
      <c r="A150" s="460"/>
      <c r="B150" s="460"/>
      <c r="C150" s="460"/>
      <c r="D150" s="460"/>
      <c r="E150" s="460"/>
      <c r="F150" s="460"/>
      <c r="G150" s="460"/>
      <c r="H150" s="460"/>
      <c r="I150" s="460"/>
      <c r="J150" s="460"/>
      <c r="K150" s="460"/>
      <c r="L150" s="460"/>
    </row>
    <row r="151" spans="1:12">
      <c r="A151" s="460"/>
      <c r="B151" s="460"/>
      <c r="C151" s="460"/>
      <c r="D151" s="460"/>
      <c r="E151" s="460"/>
      <c r="F151" s="460"/>
      <c r="G151" s="460"/>
      <c r="H151" s="460"/>
      <c r="I151" s="460"/>
      <c r="J151" s="460"/>
      <c r="K151" s="460"/>
      <c r="L151" s="460"/>
    </row>
    <row r="152" spans="1:12">
      <c r="A152" s="460"/>
      <c r="B152" s="460"/>
      <c r="C152" s="460"/>
      <c r="D152" s="460"/>
      <c r="E152" s="460"/>
      <c r="F152" s="460"/>
      <c r="G152" s="460"/>
      <c r="H152" s="460"/>
      <c r="I152" s="460"/>
      <c r="J152" s="460"/>
      <c r="K152" s="460"/>
      <c r="L152" s="460"/>
    </row>
    <row r="153" spans="1:12">
      <c r="A153" s="460"/>
      <c r="B153" s="460"/>
      <c r="C153" s="460"/>
      <c r="D153" s="460"/>
      <c r="E153" s="460"/>
      <c r="F153" s="460"/>
      <c r="G153" s="460"/>
      <c r="H153" s="460"/>
      <c r="I153" s="460"/>
      <c r="J153" s="460"/>
      <c r="K153" s="460"/>
      <c r="L153" s="460"/>
    </row>
    <row r="154" spans="1:12">
      <c r="A154" s="460"/>
      <c r="B154" s="460"/>
      <c r="C154" s="460"/>
      <c r="D154" s="460"/>
      <c r="E154" s="460"/>
      <c r="F154" s="460"/>
      <c r="G154" s="460"/>
      <c r="H154" s="460"/>
      <c r="I154" s="460"/>
      <c r="J154" s="460"/>
      <c r="K154" s="460"/>
      <c r="L154" s="460"/>
    </row>
    <row r="155" spans="1:12">
      <c r="A155" s="460"/>
      <c r="B155" s="460"/>
      <c r="C155" s="460"/>
      <c r="D155" s="460"/>
      <c r="E155" s="460"/>
      <c r="F155" s="460"/>
      <c r="G155" s="460"/>
      <c r="H155" s="460"/>
      <c r="I155" s="460"/>
      <c r="J155" s="460"/>
      <c r="K155" s="460"/>
      <c r="L155" s="460"/>
    </row>
    <row r="156" spans="1:12">
      <c r="A156" s="460"/>
      <c r="B156" s="460"/>
      <c r="C156" s="460"/>
      <c r="D156" s="460"/>
      <c r="E156" s="460"/>
      <c r="F156" s="460"/>
      <c r="G156" s="460"/>
      <c r="H156" s="460"/>
      <c r="I156" s="460"/>
      <c r="J156" s="460"/>
      <c r="K156" s="460"/>
      <c r="L156" s="460"/>
    </row>
    <row r="157" spans="1:12">
      <c r="A157" s="460"/>
      <c r="B157" s="460"/>
      <c r="C157" s="460"/>
      <c r="D157" s="460"/>
      <c r="E157" s="460"/>
      <c r="F157" s="460"/>
      <c r="G157" s="460"/>
      <c r="H157" s="460"/>
      <c r="I157" s="460"/>
      <c r="J157" s="460"/>
      <c r="K157" s="460"/>
      <c r="L157" s="460"/>
    </row>
    <row r="158" spans="1:12">
      <c r="A158" s="460"/>
      <c r="B158" s="460"/>
      <c r="C158" s="460"/>
      <c r="D158" s="460"/>
      <c r="E158" s="460"/>
      <c r="F158" s="460"/>
      <c r="G158" s="460"/>
      <c r="H158" s="460"/>
      <c r="I158" s="460"/>
      <c r="J158" s="460"/>
      <c r="K158" s="460"/>
      <c r="L158" s="460"/>
    </row>
    <row r="159" spans="1:12">
      <c r="A159" s="460"/>
      <c r="B159" s="460"/>
      <c r="C159" s="460"/>
      <c r="D159" s="460"/>
      <c r="E159" s="460"/>
      <c r="F159" s="460"/>
      <c r="G159" s="460"/>
      <c r="H159" s="460"/>
      <c r="I159" s="460"/>
      <c r="J159" s="460"/>
      <c r="K159" s="460"/>
      <c r="L159" s="460"/>
    </row>
    <row r="160" spans="1:12">
      <c r="A160" s="460"/>
      <c r="B160" s="460"/>
      <c r="C160" s="460"/>
      <c r="D160" s="460"/>
      <c r="E160" s="460"/>
      <c r="F160" s="460"/>
      <c r="G160" s="460"/>
      <c r="H160" s="460"/>
      <c r="I160" s="460"/>
      <c r="J160" s="460"/>
      <c r="K160" s="460"/>
      <c r="L160" s="460"/>
    </row>
    <row r="161" spans="1:12">
      <c r="A161" s="460"/>
      <c r="B161" s="460"/>
      <c r="C161" s="460"/>
      <c r="D161" s="460"/>
      <c r="E161" s="460"/>
      <c r="F161" s="460"/>
      <c r="G161" s="460"/>
      <c r="H161" s="460"/>
      <c r="I161" s="460"/>
      <c r="J161" s="460"/>
      <c r="K161" s="460"/>
      <c r="L161" s="460"/>
    </row>
    <row r="162" spans="1:12">
      <c r="A162" s="460"/>
      <c r="B162" s="460"/>
      <c r="C162" s="460"/>
      <c r="D162" s="460"/>
      <c r="E162" s="460"/>
      <c r="F162" s="460"/>
      <c r="G162" s="460"/>
      <c r="H162" s="460"/>
      <c r="I162" s="460"/>
      <c r="J162" s="460"/>
      <c r="K162" s="460"/>
      <c r="L162" s="460"/>
    </row>
    <row r="163" spans="1:12">
      <c r="A163" s="460"/>
      <c r="B163" s="460"/>
      <c r="C163" s="460"/>
      <c r="D163" s="460"/>
      <c r="E163" s="460"/>
      <c r="F163" s="460"/>
      <c r="G163" s="460"/>
      <c r="H163" s="460"/>
      <c r="I163" s="460"/>
      <c r="J163" s="460"/>
      <c r="K163" s="460"/>
      <c r="L163" s="460"/>
    </row>
    <row r="164" spans="1:12">
      <c r="A164" s="460"/>
      <c r="B164" s="460"/>
      <c r="C164" s="460"/>
      <c r="D164" s="460"/>
      <c r="E164" s="460"/>
      <c r="F164" s="460"/>
      <c r="G164" s="460"/>
      <c r="H164" s="460"/>
      <c r="I164" s="460"/>
      <c r="J164" s="460"/>
      <c r="K164" s="460"/>
      <c r="L164" s="460"/>
    </row>
    <row r="165" spans="1:12">
      <c r="A165" s="460"/>
      <c r="B165" s="460"/>
      <c r="C165" s="460"/>
      <c r="D165" s="460"/>
      <c r="E165" s="460"/>
      <c r="F165" s="460"/>
      <c r="G165" s="460"/>
      <c r="H165" s="460"/>
      <c r="I165" s="460"/>
      <c r="J165" s="460"/>
      <c r="K165" s="460"/>
      <c r="L165" s="460"/>
    </row>
    <row r="166" spans="1:12">
      <c r="A166" s="460"/>
      <c r="B166" s="460"/>
      <c r="C166" s="460"/>
      <c r="D166" s="460"/>
      <c r="E166" s="460"/>
      <c r="F166" s="460"/>
      <c r="G166" s="460"/>
      <c r="H166" s="460"/>
      <c r="I166" s="460"/>
      <c r="J166" s="460"/>
      <c r="K166" s="460"/>
      <c r="L166" s="460"/>
    </row>
    <row r="167" spans="1:12">
      <c r="A167" s="460"/>
      <c r="B167" s="460"/>
      <c r="C167" s="460"/>
      <c r="D167" s="460"/>
      <c r="E167" s="460"/>
      <c r="F167" s="460"/>
      <c r="G167" s="460"/>
      <c r="H167" s="460"/>
      <c r="I167" s="460"/>
      <c r="J167" s="460"/>
      <c r="K167" s="460"/>
      <c r="L167" s="460"/>
    </row>
    <row r="168" spans="1:12">
      <c r="A168" s="460"/>
      <c r="B168" s="460"/>
      <c r="C168" s="460"/>
      <c r="D168" s="460"/>
      <c r="E168" s="460"/>
      <c r="F168" s="460"/>
      <c r="G168" s="460"/>
      <c r="H168" s="460"/>
      <c r="I168" s="460"/>
      <c r="J168" s="460"/>
      <c r="K168" s="460"/>
      <c r="L168" s="460"/>
    </row>
    <row r="169" spans="1:12">
      <c r="A169" s="460"/>
      <c r="B169" s="460"/>
      <c r="C169" s="460"/>
      <c r="D169" s="460"/>
      <c r="E169" s="460"/>
      <c r="F169" s="460"/>
      <c r="G169" s="460"/>
      <c r="H169" s="460"/>
      <c r="I169" s="460"/>
      <c r="J169" s="460"/>
      <c r="K169" s="460"/>
      <c r="L169" s="460"/>
    </row>
    <row r="170" spans="1:12">
      <c r="A170" s="460"/>
      <c r="B170" s="460"/>
      <c r="C170" s="460"/>
      <c r="D170" s="460"/>
      <c r="E170" s="460"/>
      <c r="F170" s="460"/>
      <c r="G170" s="460"/>
      <c r="H170" s="460"/>
      <c r="I170" s="460"/>
      <c r="J170" s="460"/>
      <c r="K170" s="460"/>
      <c r="L170" s="460"/>
    </row>
    <row r="171" spans="1:12">
      <c r="A171" s="460"/>
      <c r="B171" s="460"/>
      <c r="C171" s="460"/>
      <c r="D171" s="460"/>
      <c r="E171" s="460"/>
      <c r="F171" s="460"/>
      <c r="G171" s="460"/>
      <c r="H171" s="460"/>
      <c r="I171" s="460"/>
      <c r="J171" s="460"/>
      <c r="K171" s="460"/>
      <c r="L171" s="460"/>
    </row>
    <row r="172" spans="1:12">
      <c r="A172" s="460"/>
      <c r="B172" s="460"/>
      <c r="C172" s="460"/>
      <c r="D172" s="460"/>
      <c r="E172" s="460"/>
      <c r="F172" s="460"/>
      <c r="G172" s="460"/>
      <c r="H172" s="460"/>
      <c r="I172" s="460"/>
      <c r="J172" s="460"/>
      <c r="K172" s="460"/>
      <c r="L172" s="460"/>
    </row>
  </sheetData>
  <mergeCells count="41">
    <mergeCell ref="C16:E16"/>
    <mergeCell ref="C17:E17"/>
    <mergeCell ref="C18:E18"/>
    <mergeCell ref="C3:J3"/>
    <mergeCell ref="C5:J5"/>
    <mergeCell ref="C6:J6"/>
    <mergeCell ref="C13:E13"/>
    <mergeCell ref="C15:E15"/>
    <mergeCell ref="E61:F61"/>
    <mergeCell ref="G53:H53"/>
    <mergeCell ref="G54:H54"/>
    <mergeCell ref="G55:H55"/>
    <mergeCell ref="G56:H56"/>
    <mergeCell ref="G57:H57"/>
    <mergeCell ref="E58:F58"/>
    <mergeCell ref="E66:F66"/>
    <mergeCell ref="G68:H68"/>
    <mergeCell ref="G58:H58"/>
    <mergeCell ref="G59:H59"/>
    <mergeCell ref="G60:H60"/>
    <mergeCell ref="G61:H61"/>
    <mergeCell ref="G62:H62"/>
    <mergeCell ref="E59:F59"/>
    <mergeCell ref="E62:F62"/>
    <mergeCell ref="E60:F60"/>
    <mergeCell ref="E52:F52"/>
    <mergeCell ref="E53:F53"/>
    <mergeCell ref="E54:F54"/>
    <mergeCell ref="E55:F55"/>
    <mergeCell ref="E56:F56"/>
    <mergeCell ref="E57:F57"/>
    <mergeCell ref="E63:F63"/>
    <mergeCell ref="E68:F68"/>
    <mergeCell ref="E65:F65"/>
    <mergeCell ref="G70:H70"/>
    <mergeCell ref="G72:H72"/>
    <mergeCell ref="G66:H66"/>
    <mergeCell ref="G63:H63"/>
    <mergeCell ref="G64:H64"/>
    <mergeCell ref="G65:H65"/>
    <mergeCell ref="E64:F64"/>
  </mergeCells>
  <dataValidations count="3">
    <dataValidation allowBlank="1" showInputMessage="1" showErrorMessage="1" prompt="If not applicable, LEAVE BLANK." sqref="F16"/>
    <dataValidation type="whole" errorStyle="warning" allowBlank="1" showInputMessage="1" showErrorMessage="1" error="Use only 4 or 6 or leave 0." prompt="Typically only 4 or 6.  Do not use inches or symbol &quot;.  If not applicable, LEAVE BLANK." sqref="F15">
      <formula1>4</formula1>
      <formula2>6</formula2>
    </dataValidation>
    <dataValidation allowBlank="1" showInputMessage="1" showErrorMessage="1" prompt="If not applicable, LEAVE BLANK._x000a_" sqref="F14"/>
  </dataValidations>
  <pageMargins left="0.25" right="0.25" top="1" bottom="0.5" header="0.5" footer="0.5"/>
  <pageSetup scale="64" orientation="portrait" blackAndWhite="1" r:id="rId1"/>
  <headerFooter alignWithMargins="0"/>
  <rowBreaks count="1" manualBreakCount="1">
    <brk id="44" max="11" man="1"/>
  </rowBreaks>
  <legacyDrawing r:id="rId2"/>
  <controls>
    <control shapeId="10243" r:id="rId3" name="CommandButton1"/>
  </controls>
</worksheet>
</file>

<file path=xl/worksheets/sheet16.xml><?xml version="1.0" encoding="utf-8"?>
<worksheet xmlns="http://schemas.openxmlformats.org/spreadsheetml/2006/main" xmlns:r="http://schemas.openxmlformats.org/officeDocument/2006/relationships">
  <sheetPr codeName="Sheet21">
    <pageSetUpPr fitToPage="1"/>
  </sheetPr>
  <dimension ref="A1:L242"/>
  <sheetViews>
    <sheetView showGridLines="0" zoomScale="85" zoomScaleNormal="85" workbookViewId="0">
      <selection activeCell="H22" sqref="H22"/>
    </sheetView>
  </sheetViews>
  <sheetFormatPr defaultColWidth="8.85546875" defaultRowHeight="12.75"/>
  <cols>
    <col min="1" max="1" width="8.42578125" style="28" customWidth="1"/>
    <col min="2" max="2" width="40.85546875" style="28" customWidth="1"/>
    <col min="3" max="3" width="6.140625" style="28" customWidth="1"/>
    <col min="4" max="4" width="15.140625" style="28" customWidth="1"/>
    <col min="5" max="5" width="17" style="28" customWidth="1"/>
    <col min="6" max="6" width="13.7109375" style="28" customWidth="1"/>
    <col min="7" max="7" width="14.28515625" style="28" customWidth="1"/>
    <col min="8" max="9" width="15.7109375" style="28" customWidth="1"/>
    <col min="10" max="16384" width="8.85546875" style="28"/>
  </cols>
  <sheetData>
    <row r="1" spans="1:12">
      <c r="A1" s="297"/>
      <c r="B1" s="624" t="str">
        <f>TestYear &amp; " Test Year"</f>
        <v>2015 Test Year</v>
      </c>
      <c r="C1" s="630"/>
      <c r="D1" s="630"/>
      <c r="E1" s="630"/>
      <c r="F1" s="630"/>
      <c r="G1" s="630"/>
      <c r="H1" s="630"/>
      <c r="I1" s="631" t="s">
        <v>355</v>
      </c>
      <c r="J1" s="460"/>
      <c r="K1" s="460"/>
      <c r="L1" s="460"/>
    </row>
    <row r="2" spans="1:12">
      <c r="A2" s="460"/>
      <c r="B2" s="630"/>
      <c r="C2" s="630"/>
      <c r="D2" s="630"/>
      <c r="E2" s="630"/>
      <c r="F2" s="630"/>
      <c r="G2" s="630"/>
      <c r="H2" s="630"/>
      <c r="I2" s="630"/>
      <c r="J2" s="460"/>
      <c r="K2" s="460"/>
      <c r="L2" s="460"/>
    </row>
    <row r="3" spans="1:12">
      <c r="A3" s="628"/>
      <c r="B3" s="1971" t="str">
        <f>Utility</f>
        <v>MADISON WATER UTILITY</v>
      </c>
      <c r="C3" s="1971"/>
      <c r="D3" s="1971"/>
      <c r="E3" s="1971"/>
      <c r="F3" s="1971"/>
      <c r="G3" s="1971"/>
      <c r="H3" s="1971"/>
      <c r="I3" s="1971"/>
      <c r="J3" s="460"/>
      <c r="K3" s="460"/>
      <c r="L3" s="460"/>
    </row>
    <row r="4" spans="1:12">
      <c r="A4" s="460"/>
      <c r="B4" s="630"/>
      <c r="C4" s="630"/>
      <c r="D4" s="630"/>
      <c r="E4" s="630"/>
      <c r="F4" s="630"/>
      <c r="G4" s="630"/>
      <c r="H4" s="630"/>
      <c r="I4" s="632"/>
      <c r="J4" s="460"/>
      <c r="K4" s="460"/>
      <c r="L4" s="460"/>
    </row>
    <row r="5" spans="1:12">
      <c r="A5" s="461"/>
      <c r="B5" s="1972" t="s">
        <v>356</v>
      </c>
      <c r="C5" s="1970"/>
      <c r="D5" s="1970"/>
      <c r="E5" s="1970"/>
      <c r="F5" s="1970"/>
      <c r="G5" s="1970"/>
      <c r="H5" s="1970"/>
      <c r="I5" s="1970"/>
      <c r="J5" s="460"/>
      <c r="K5" s="460"/>
      <c r="L5" s="460"/>
    </row>
    <row r="6" spans="1:12" ht="13.5" thickBot="1">
      <c r="A6" s="626"/>
      <c r="B6" s="1969" t="str">
        <f>CONCATENATE("Estimated for Test Year ",TestYear)</f>
        <v>Estimated for Test Year 2015</v>
      </c>
      <c r="C6" s="1970"/>
      <c r="D6" s="1970"/>
      <c r="E6" s="1970"/>
      <c r="F6" s="1970"/>
      <c r="G6" s="1970"/>
      <c r="H6" s="1970"/>
      <c r="I6" s="1970"/>
      <c r="J6" s="460"/>
      <c r="K6" s="460"/>
      <c r="L6" s="460"/>
    </row>
    <row r="7" spans="1:12" ht="13.5" thickTop="1">
      <c r="A7" s="468"/>
      <c r="B7" s="651"/>
      <c r="C7" s="652"/>
      <c r="D7" s="652"/>
      <c r="E7" s="652"/>
      <c r="F7" s="652"/>
      <c r="G7" s="653"/>
      <c r="H7" s="653"/>
      <c r="I7" s="654"/>
      <c r="J7" s="500"/>
      <c r="K7" s="460"/>
      <c r="L7" s="460"/>
    </row>
    <row r="8" spans="1:12">
      <c r="A8" s="629"/>
      <c r="B8" s="655" t="s">
        <v>346</v>
      </c>
      <c r="C8" s="553">
        <f>BillingPeriods</f>
        <v>12</v>
      </c>
      <c r="D8" s="633"/>
      <c r="E8" s="487"/>
      <c r="F8" s="487"/>
      <c r="G8" s="487"/>
      <c r="H8" s="487"/>
      <c r="I8" s="514"/>
      <c r="J8" s="501"/>
      <c r="K8" s="460"/>
      <c r="L8" s="460"/>
    </row>
    <row r="9" spans="1:12" ht="15">
      <c r="A9" s="465"/>
      <c r="B9" s="656"/>
      <c r="C9" s="634"/>
      <c r="D9" s="977"/>
      <c r="E9" s="969" t="s">
        <v>357</v>
      </c>
      <c r="F9" s="970"/>
      <c r="G9" s="970"/>
      <c r="H9" s="970"/>
      <c r="I9" s="514"/>
      <c r="J9" s="501"/>
      <c r="K9" s="460"/>
      <c r="L9" s="460"/>
    </row>
    <row r="10" spans="1:12" ht="15">
      <c r="A10" s="462"/>
      <c r="B10" s="554" t="s">
        <v>358</v>
      </c>
      <c r="C10" s="489"/>
      <c r="D10" s="971" t="s">
        <v>359</v>
      </c>
      <c r="E10" s="969" t="s">
        <v>360</v>
      </c>
      <c r="F10" s="973"/>
      <c r="G10" s="973" t="s">
        <v>347</v>
      </c>
      <c r="H10" s="973" t="s">
        <v>348</v>
      </c>
      <c r="I10" s="514"/>
      <c r="J10" s="501"/>
      <c r="K10" s="460"/>
      <c r="L10" s="460"/>
    </row>
    <row r="11" spans="1:12" ht="15">
      <c r="A11" s="460"/>
      <c r="B11" s="502"/>
      <c r="C11" s="489"/>
      <c r="D11" s="974" t="s">
        <v>349</v>
      </c>
      <c r="E11" s="975" t="s">
        <v>361</v>
      </c>
      <c r="F11" s="976" t="s">
        <v>362</v>
      </c>
      <c r="G11" s="976" t="s">
        <v>363</v>
      </c>
      <c r="H11" s="976" t="s">
        <v>351</v>
      </c>
      <c r="I11" s="514"/>
      <c r="J11" s="501"/>
      <c r="K11" s="460"/>
      <c r="L11" s="460"/>
    </row>
    <row r="12" spans="1:12" ht="14.25">
      <c r="A12" s="460"/>
      <c r="B12" s="502"/>
      <c r="C12" s="489"/>
      <c r="D12" s="555" t="s">
        <v>364</v>
      </c>
      <c r="E12" s="1839">
        <v>61</v>
      </c>
      <c r="F12" s="636">
        <f>IF(ISERROR($C$8*E12),0,$C$8*E12)</f>
        <v>732</v>
      </c>
      <c r="G12" s="637">
        <v>2.4500000000000002</v>
      </c>
      <c r="H12" s="640">
        <f t="shared" ref="H12:H20" si="0">ROUND(F12*G12,0)</f>
        <v>1793</v>
      </c>
      <c r="I12" s="514"/>
      <c r="J12" s="501"/>
      <c r="K12" s="460"/>
      <c r="L12" s="460"/>
    </row>
    <row r="13" spans="1:12" ht="14.25">
      <c r="A13" s="460"/>
      <c r="B13" s="502"/>
      <c r="C13" s="489"/>
      <c r="D13" s="555" t="s">
        <v>365</v>
      </c>
      <c r="E13" s="1840">
        <v>12</v>
      </c>
      <c r="F13" s="636">
        <f t="shared" ref="F13:F20" si="1">IF(ISERROR($C$8*E13),0,$C$8*E13)</f>
        <v>144</v>
      </c>
      <c r="G13" s="639">
        <v>4.3499999999999996</v>
      </c>
      <c r="H13" s="640">
        <f t="shared" si="0"/>
        <v>626</v>
      </c>
      <c r="I13" s="514"/>
      <c r="J13" s="501"/>
      <c r="K13" s="460"/>
      <c r="L13" s="460"/>
    </row>
    <row r="14" spans="1:12" ht="14.25">
      <c r="A14" s="460"/>
      <c r="B14" s="502"/>
      <c r="C14" s="489"/>
      <c r="D14" s="555" t="s">
        <v>366</v>
      </c>
      <c r="E14" s="1840">
        <f>198+7</f>
        <v>205</v>
      </c>
      <c r="F14" s="636">
        <f t="shared" si="1"/>
        <v>2460</v>
      </c>
      <c r="G14" s="639">
        <v>7.3</v>
      </c>
      <c r="H14" s="640">
        <f t="shared" si="0"/>
        <v>17958</v>
      </c>
      <c r="I14" s="514"/>
      <c r="J14" s="501"/>
      <c r="K14" s="460"/>
      <c r="L14" s="460"/>
    </row>
    <row r="15" spans="1:12" ht="14.25">
      <c r="A15" s="460"/>
      <c r="B15" s="502"/>
      <c r="C15" s="489"/>
      <c r="D15" s="555" t="s">
        <v>367</v>
      </c>
      <c r="E15" s="1840">
        <f>1093+40</f>
        <v>1133</v>
      </c>
      <c r="F15" s="636">
        <f t="shared" si="1"/>
        <v>13596</v>
      </c>
      <c r="G15" s="639">
        <v>14.55</v>
      </c>
      <c r="H15" s="640">
        <f t="shared" si="0"/>
        <v>197822</v>
      </c>
      <c r="I15" s="514"/>
      <c r="J15" s="501"/>
      <c r="K15" s="460"/>
      <c r="L15" s="460"/>
    </row>
    <row r="16" spans="1:12" ht="14.25">
      <c r="A16" s="460"/>
      <c r="B16" s="502"/>
      <c r="C16" s="489"/>
      <c r="D16" s="555" t="s">
        <v>368</v>
      </c>
      <c r="E16" s="1840">
        <v>492</v>
      </c>
      <c r="F16" s="636">
        <f t="shared" si="1"/>
        <v>5904</v>
      </c>
      <c r="G16" s="639">
        <v>23.3</v>
      </c>
      <c r="H16" s="640">
        <f t="shared" si="0"/>
        <v>137563</v>
      </c>
      <c r="I16" s="514"/>
      <c r="J16" s="501"/>
      <c r="K16" s="460"/>
      <c r="L16" s="460"/>
    </row>
    <row r="17" spans="1:12" ht="14.25">
      <c r="A17" s="460"/>
      <c r="B17" s="502"/>
      <c r="C17" s="489"/>
      <c r="D17" s="555" t="s">
        <v>269</v>
      </c>
      <c r="E17" s="1840">
        <v>39</v>
      </c>
      <c r="F17" s="636">
        <f t="shared" si="1"/>
        <v>468</v>
      </c>
      <c r="G17" s="639">
        <v>35</v>
      </c>
      <c r="H17" s="640">
        <f t="shared" si="0"/>
        <v>16380</v>
      </c>
      <c r="I17" s="514"/>
      <c r="J17" s="501"/>
      <c r="K17" s="460"/>
      <c r="L17" s="460"/>
    </row>
    <row r="18" spans="1:12" ht="14.25">
      <c r="A18" s="460"/>
      <c r="B18" s="502"/>
      <c r="C18" s="489"/>
      <c r="D18" s="555" t="s">
        <v>270</v>
      </c>
      <c r="E18" s="1840">
        <v>9</v>
      </c>
      <c r="F18" s="636">
        <f t="shared" si="1"/>
        <v>108</v>
      </c>
      <c r="G18" s="639">
        <v>46.65</v>
      </c>
      <c r="H18" s="640">
        <f t="shared" si="0"/>
        <v>5038</v>
      </c>
      <c r="I18" s="514"/>
      <c r="J18" s="501"/>
      <c r="K18" s="460"/>
      <c r="L18" s="460"/>
    </row>
    <row r="19" spans="1:12" ht="14.25">
      <c r="A19" s="460"/>
      <c r="B19" s="502"/>
      <c r="C19" s="489"/>
      <c r="D19" s="555" t="s">
        <v>369</v>
      </c>
      <c r="E19" s="1840">
        <v>0</v>
      </c>
      <c r="F19" s="636">
        <f t="shared" si="1"/>
        <v>0</v>
      </c>
      <c r="G19" s="639">
        <v>58.3</v>
      </c>
      <c r="H19" s="640">
        <f t="shared" si="0"/>
        <v>0</v>
      </c>
      <c r="I19" s="514"/>
      <c r="J19" s="501"/>
      <c r="K19" s="460"/>
      <c r="L19" s="460"/>
    </row>
    <row r="20" spans="1:12" ht="14.25">
      <c r="A20" s="460"/>
      <c r="B20" s="502"/>
      <c r="C20" s="489"/>
      <c r="D20" s="555" t="s">
        <v>370</v>
      </c>
      <c r="E20" s="1840">
        <v>0</v>
      </c>
      <c r="F20" s="636">
        <f t="shared" si="1"/>
        <v>0</v>
      </c>
      <c r="G20" s="639">
        <v>70</v>
      </c>
      <c r="H20" s="640">
        <f t="shared" si="0"/>
        <v>0</v>
      </c>
      <c r="I20" s="514"/>
      <c r="J20" s="501"/>
      <c r="K20" s="460"/>
      <c r="L20" s="460"/>
    </row>
    <row r="21" spans="1:12" ht="14.25">
      <c r="A21" s="460"/>
      <c r="B21" s="502"/>
      <c r="C21" s="489"/>
      <c r="D21" s="555"/>
      <c r="E21" s="641">
        <f>SUM(E10:E20)</f>
        <v>1951</v>
      </c>
      <c r="F21" s="642">
        <f>SUM(F10:F20)</f>
        <v>23412</v>
      </c>
      <c r="G21" s="643"/>
      <c r="H21" s="644"/>
      <c r="I21" s="514"/>
      <c r="J21" s="501"/>
      <c r="K21" s="460"/>
      <c r="L21" s="460"/>
    </row>
    <row r="22" spans="1:12" ht="14.25">
      <c r="A22" s="462"/>
      <c r="B22" s="502" t="s">
        <v>371</v>
      </c>
      <c r="C22" s="489"/>
      <c r="D22" s="519"/>
      <c r="E22" s="519"/>
      <c r="F22" s="657" t="s">
        <v>342</v>
      </c>
      <c r="G22" s="519"/>
      <c r="H22" s="640">
        <f>SUM(H12:H20)</f>
        <v>377180</v>
      </c>
      <c r="I22" s="514"/>
      <c r="J22" s="501"/>
      <c r="K22" s="460"/>
      <c r="L22" s="460"/>
    </row>
    <row r="23" spans="1:12" ht="15">
      <c r="A23" s="460"/>
      <c r="B23" s="548"/>
      <c r="C23" s="514"/>
      <c r="D23" s="970"/>
      <c r="E23" s="969" t="s">
        <v>357</v>
      </c>
      <c r="F23" s="970"/>
      <c r="G23" s="970"/>
      <c r="H23" s="970"/>
      <c r="I23" s="533"/>
      <c r="J23" s="501"/>
      <c r="K23" s="460"/>
      <c r="L23" s="460"/>
    </row>
    <row r="24" spans="1:12" ht="15">
      <c r="A24" s="462"/>
      <c r="B24" s="554" t="s">
        <v>372</v>
      </c>
      <c r="C24" s="489"/>
      <c r="D24" s="973" t="s">
        <v>373</v>
      </c>
      <c r="E24" s="969" t="s">
        <v>374</v>
      </c>
      <c r="F24" s="972"/>
      <c r="G24" s="973" t="s">
        <v>347</v>
      </c>
      <c r="H24" s="973" t="s">
        <v>375</v>
      </c>
      <c r="I24" s="489"/>
      <c r="J24" s="501"/>
      <c r="K24" s="460"/>
      <c r="L24" s="460"/>
    </row>
    <row r="25" spans="1:12" ht="15">
      <c r="A25" s="462"/>
      <c r="B25" s="554" t="s">
        <v>983</v>
      </c>
      <c r="C25" s="489"/>
      <c r="D25" s="976" t="s">
        <v>376</v>
      </c>
      <c r="E25" s="975" t="s">
        <v>361</v>
      </c>
      <c r="F25" s="976" t="s">
        <v>362</v>
      </c>
      <c r="G25" s="978" t="s">
        <v>363</v>
      </c>
      <c r="H25" s="976" t="s">
        <v>255</v>
      </c>
      <c r="I25" s="489"/>
      <c r="J25" s="501"/>
      <c r="K25" s="460"/>
      <c r="L25" s="460"/>
    </row>
    <row r="26" spans="1:12" ht="14.25">
      <c r="A26" s="462"/>
      <c r="B26" s="502"/>
      <c r="C26" s="529"/>
      <c r="D26" s="563" t="s">
        <v>377</v>
      </c>
      <c r="E26" s="635">
        <v>0</v>
      </c>
      <c r="F26" s="636">
        <f>IF(ISERROR($C$8*E26),0,$C$8*E26)</f>
        <v>0</v>
      </c>
      <c r="G26" s="647">
        <f>Attach3B!E14</f>
        <v>4.5</v>
      </c>
      <c r="H26" s="640">
        <f t="shared" ref="H26:H36" si="2">ROUND(F26*G26,0)</f>
        <v>0</v>
      </c>
      <c r="I26" s="489"/>
      <c r="J26" s="501"/>
      <c r="K26" s="460"/>
      <c r="L26" s="460"/>
    </row>
    <row r="27" spans="1:12" ht="14.25">
      <c r="A27" s="462"/>
      <c r="B27" s="502"/>
      <c r="C27" s="529"/>
      <c r="D27" s="563" t="s">
        <v>378</v>
      </c>
      <c r="E27" s="638">
        <v>0</v>
      </c>
      <c r="F27" s="636">
        <f t="shared" ref="F27:F36" si="3">IF(ISERROR($C$8*E27),0,$C$8*E27)</f>
        <v>0</v>
      </c>
      <c r="G27" s="647">
        <f>Attach3B!E15</f>
        <v>5.25</v>
      </c>
      <c r="H27" s="640">
        <f t="shared" si="2"/>
        <v>0</v>
      </c>
      <c r="I27" s="489"/>
      <c r="J27" s="501"/>
      <c r="K27" s="460"/>
      <c r="L27" s="460"/>
    </row>
    <row r="28" spans="1:12" ht="14.25">
      <c r="A28" s="460"/>
      <c r="B28" s="502"/>
      <c r="C28" s="529"/>
      <c r="D28" s="563" t="s">
        <v>379</v>
      </c>
      <c r="E28" s="638">
        <v>0</v>
      </c>
      <c r="F28" s="636">
        <f t="shared" si="3"/>
        <v>0</v>
      </c>
      <c r="G28" s="647">
        <f>Attach3B!E16</f>
        <v>7.75</v>
      </c>
      <c r="H28" s="640">
        <f t="shared" si="2"/>
        <v>0</v>
      </c>
      <c r="I28" s="489"/>
      <c r="J28" s="501"/>
      <c r="K28" s="460"/>
      <c r="L28" s="460"/>
    </row>
    <row r="29" spans="1:12" ht="14.25">
      <c r="A29" s="460"/>
      <c r="B29" s="502"/>
      <c r="C29" s="529"/>
      <c r="D29" s="563" t="s">
        <v>380</v>
      </c>
      <c r="E29" s="638">
        <v>0</v>
      </c>
      <c r="F29" s="636">
        <f t="shared" si="3"/>
        <v>0</v>
      </c>
      <c r="G29" s="647">
        <f>Attach3B!E17</f>
        <v>10</v>
      </c>
      <c r="H29" s="640">
        <f t="shared" si="2"/>
        <v>0</v>
      </c>
      <c r="I29" s="489"/>
      <c r="J29" s="501"/>
      <c r="K29" s="460"/>
      <c r="L29" s="460"/>
    </row>
    <row r="30" spans="1:12" ht="14.25">
      <c r="A30" s="460"/>
      <c r="B30" s="502"/>
      <c r="C30" s="529"/>
      <c r="D30" s="563" t="s">
        <v>381</v>
      </c>
      <c r="E30" s="638">
        <v>0</v>
      </c>
      <c r="F30" s="636">
        <f t="shared" si="3"/>
        <v>0</v>
      </c>
      <c r="G30" s="647">
        <f>Attach3B!E18</f>
        <v>12.5</v>
      </c>
      <c r="H30" s="640">
        <f t="shared" si="2"/>
        <v>0</v>
      </c>
      <c r="I30" s="489"/>
      <c r="J30" s="501"/>
      <c r="K30" s="460"/>
      <c r="L30" s="460"/>
    </row>
    <row r="31" spans="1:12" ht="14.25">
      <c r="A31" s="460"/>
      <c r="B31" s="502"/>
      <c r="C31" s="529"/>
      <c r="D31" s="563" t="s">
        <v>382</v>
      </c>
      <c r="E31" s="638">
        <v>0</v>
      </c>
      <c r="F31" s="636">
        <f t="shared" si="3"/>
        <v>0</v>
      </c>
      <c r="G31" s="647">
        <f>Attach3B!E19</f>
        <v>18.5</v>
      </c>
      <c r="H31" s="640">
        <f t="shared" si="2"/>
        <v>0</v>
      </c>
      <c r="I31" s="489"/>
      <c r="J31" s="501"/>
      <c r="K31" s="460"/>
      <c r="L31" s="460"/>
    </row>
    <row r="32" spans="1:12" ht="14.25">
      <c r="A32" s="460"/>
      <c r="B32" s="502"/>
      <c r="C32" s="529"/>
      <c r="D32" s="563" t="s">
        <v>383</v>
      </c>
      <c r="E32" s="638">
        <v>0</v>
      </c>
      <c r="F32" s="636">
        <f t="shared" si="3"/>
        <v>0</v>
      </c>
      <c r="G32" s="647">
        <f>Attach3B!E20</f>
        <v>0</v>
      </c>
      <c r="H32" s="640">
        <f t="shared" si="2"/>
        <v>0</v>
      </c>
      <c r="I32" s="489"/>
      <c r="J32" s="501"/>
      <c r="K32" s="460"/>
      <c r="L32" s="460"/>
    </row>
    <row r="33" spans="1:12" ht="14.25">
      <c r="A33" s="460"/>
      <c r="B33" s="502"/>
      <c r="C33" s="529"/>
      <c r="D33" s="563" t="s">
        <v>384</v>
      </c>
      <c r="E33" s="638">
        <v>0</v>
      </c>
      <c r="F33" s="636">
        <f t="shared" si="3"/>
        <v>0</v>
      </c>
      <c r="G33" s="647">
        <f>Attach3B!E21</f>
        <v>30</v>
      </c>
      <c r="H33" s="640">
        <f t="shared" si="2"/>
        <v>0</v>
      </c>
      <c r="I33" s="489"/>
      <c r="J33" s="501"/>
      <c r="K33" s="460"/>
      <c r="L33" s="460"/>
    </row>
    <row r="34" spans="1:12" ht="14.25">
      <c r="A34" s="460"/>
      <c r="B34" s="502"/>
      <c r="C34" s="529"/>
      <c r="D34" s="563" t="s">
        <v>385</v>
      </c>
      <c r="E34" s="638">
        <v>0</v>
      </c>
      <c r="F34" s="636">
        <f t="shared" si="3"/>
        <v>0</v>
      </c>
      <c r="G34" s="647">
        <f>Attach3B!E22</f>
        <v>45</v>
      </c>
      <c r="H34" s="640">
        <f t="shared" si="2"/>
        <v>0</v>
      </c>
      <c r="I34" s="489"/>
      <c r="J34" s="501"/>
      <c r="K34" s="460"/>
      <c r="L34" s="460"/>
    </row>
    <row r="35" spans="1:12" ht="14.25">
      <c r="A35" s="460"/>
      <c r="B35" s="502"/>
      <c r="C35" s="529"/>
      <c r="D35" s="555" t="s">
        <v>386</v>
      </c>
      <c r="E35" s="638">
        <v>0</v>
      </c>
      <c r="F35" s="636">
        <f t="shared" si="3"/>
        <v>0</v>
      </c>
      <c r="G35" s="647">
        <f>Attach3B!E23</f>
        <v>77.5</v>
      </c>
      <c r="H35" s="640">
        <f t="shared" si="2"/>
        <v>0</v>
      </c>
      <c r="I35" s="489"/>
      <c r="J35" s="501"/>
      <c r="K35" s="460"/>
      <c r="L35" s="460"/>
    </row>
    <row r="36" spans="1:12" ht="14.25">
      <c r="A36" s="460"/>
      <c r="B36" s="502"/>
      <c r="C36" s="529"/>
      <c r="D36" s="555" t="s">
        <v>387</v>
      </c>
      <c r="E36" s="645">
        <v>0</v>
      </c>
      <c r="F36" s="646">
        <f t="shared" si="3"/>
        <v>0</v>
      </c>
      <c r="G36" s="647">
        <f>Attach3B!E24</f>
        <v>120</v>
      </c>
      <c r="H36" s="640">
        <f t="shared" si="2"/>
        <v>0</v>
      </c>
      <c r="I36" s="489"/>
      <c r="J36" s="501"/>
      <c r="K36" s="460"/>
      <c r="L36" s="460"/>
    </row>
    <row r="37" spans="1:12" ht="14.25">
      <c r="A37" s="460"/>
      <c r="B37" s="502"/>
      <c r="C37" s="489"/>
      <c r="D37" s="519"/>
      <c r="E37" s="641">
        <f>SUM(E26:E36)</f>
        <v>0</v>
      </c>
      <c r="F37" s="642">
        <f>SUM(F26:F36)</f>
        <v>0</v>
      </c>
      <c r="G37" s="648"/>
      <c r="H37" s="648"/>
      <c r="I37" s="530"/>
      <c r="J37" s="501"/>
      <c r="K37" s="460"/>
      <c r="L37" s="460"/>
    </row>
    <row r="38" spans="1:12" ht="14.25">
      <c r="A38" s="462"/>
      <c r="B38" s="512" t="s">
        <v>388</v>
      </c>
      <c r="C38" s="519"/>
      <c r="D38" s="519"/>
      <c r="E38" s="519"/>
      <c r="F38" s="519"/>
      <c r="G38" s="520"/>
      <c r="H38" s="649">
        <f>SUM(H26:H36)</f>
        <v>0</v>
      </c>
      <c r="I38" s="489"/>
      <c r="J38" s="501"/>
      <c r="K38" s="460"/>
      <c r="L38" s="460"/>
    </row>
    <row r="39" spans="1:12" ht="14.25">
      <c r="A39" s="460"/>
      <c r="B39" s="512"/>
      <c r="C39" s="519"/>
      <c r="D39" s="519"/>
      <c r="E39" s="519"/>
      <c r="F39" s="519"/>
      <c r="G39" s="519"/>
      <c r="H39" s="519"/>
      <c r="I39" s="530"/>
      <c r="J39" s="501"/>
      <c r="K39" s="460"/>
      <c r="L39" s="460"/>
    </row>
    <row r="40" spans="1:12" ht="14.25">
      <c r="A40" s="462"/>
      <c r="B40" s="512" t="s">
        <v>389</v>
      </c>
      <c r="C40" s="519"/>
      <c r="D40" s="519"/>
      <c r="E40" s="519"/>
      <c r="F40" s="489"/>
      <c r="G40" s="489"/>
      <c r="H40" s="489"/>
      <c r="I40" s="489"/>
      <c r="J40" s="501"/>
      <c r="K40" s="460"/>
      <c r="L40" s="460"/>
    </row>
    <row r="41" spans="1:12" ht="14.25">
      <c r="A41" s="463"/>
      <c r="B41" s="513" t="s">
        <v>390</v>
      </c>
      <c r="C41" s="519"/>
      <c r="D41" s="519"/>
      <c r="E41" s="519"/>
      <c r="F41" s="489"/>
      <c r="G41" s="489"/>
      <c r="H41" s="489"/>
      <c r="I41" s="489"/>
      <c r="J41" s="501"/>
      <c r="K41" s="460"/>
      <c r="L41" s="460"/>
    </row>
    <row r="42" spans="1:12" ht="15.75" customHeight="1">
      <c r="A42" s="627"/>
      <c r="B42" s="513"/>
      <c r="C42" s="519"/>
      <c r="D42" s="519"/>
      <c r="E42" s="658" t="s">
        <v>391</v>
      </c>
      <c r="F42" s="650"/>
      <c r="G42" s="489"/>
      <c r="H42" s="489"/>
      <c r="I42" s="518">
        <f>ROUND(H38*-F42,0)</f>
        <v>0</v>
      </c>
      <c r="J42" s="501"/>
      <c r="K42" s="460"/>
      <c r="L42" s="460"/>
    </row>
    <row r="43" spans="1:12" ht="14.25">
      <c r="A43" s="462"/>
      <c r="B43" s="512"/>
      <c r="C43" s="519"/>
      <c r="D43" s="519"/>
      <c r="E43" s="519"/>
      <c r="F43" s="489"/>
      <c r="G43" s="489"/>
      <c r="H43" s="489"/>
      <c r="I43" s="489"/>
      <c r="J43" s="501"/>
      <c r="K43" s="460"/>
      <c r="L43" s="460"/>
    </row>
    <row r="44" spans="1:12" ht="15" thickBot="1">
      <c r="A44" s="463"/>
      <c r="B44" s="513" t="s">
        <v>392</v>
      </c>
      <c r="C44" s="519"/>
      <c r="D44" s="519"/>
      <c r="E44" s="519"/>
      <c r="F44" s="489"/>
      <c r="G44" s="489"/>
      <c r="H44" s="489"/>
      <c r="I44" s="517">
        <f>ROUND(H22+I42,0)</f>
        <v>377180</v>
      </c>
      <c r="J44" s="501"/>
      <c r="K44" s="460"/>
      <c r="L44" s="460"/>
    </row>
    <row r="45" spans="1:12" ht="13.5" thickTop="1">
      <c r="A45" s="460"/>
      <c r="B45" s="548"/>
      <c r="C45" s="514"/>
      <c r="D45" s="514"/>
      <c r="E45" s="514"/>
      <c r="F45" s="514"/>
      <c r="G45" s="514"/>
      <c r="H45" s="514"/>
      <c r="I45" s="543"/>
      <c r="J45" s="501"/>
      <c r="K45" s="460"/>
      <c r="L45" s="460"/>
    </row>
    <row r="46" spans="1:12">
      <c r="A46" s="460"/>
      <c r="B46" s="548"/>
      <c r="C46" s="514"/>
      <c r="D46" s="514"/>
      <c r="E46" s="514"/>
      <c r="F46" s="514"/>
      <c r="G46" s="514"/>
      <c r="H46" s="514"/>
      <c r="I46" s="514"/>
      <c r="J46" s="501"/>
      <c r="K46" s="460"/>
      <c r="L46" s="460"/>
    </row>
    <row r="47" spans="1:12">
      <c r="A47" s="460"/>
      <c r="B47" s="548"/>
      <c r="C47" s="514"/>
      <c r="D47" s="514"/>
      <c r="E47" s="514"/>
      <c r="F47" s="514"/>
      <c r="G47" s="514"/>
      <c r="H47" s="514"/>
      <c r="I47" s="514"/>
      <c r="J47" s="501"/>
      <c r="K47" s="460"/>
      <c r="L47" s="460"/>
    </row>
    <row r="48" spans="1:12">
      <c r="A48" s="460"/>
      <c r="B48" s="548"/>
      <c r="C48" s="514"/>
      <c r="D48" s="514"/>
      <c r="E48" s="514"/>
      <c r="F48" s="514"/>
      <c r="G48" s="514"/>
      <c r="H48" s="514"/>
      <c r="I48" s="514"/>
      <c r="J48" s="501"/>
      <c r="K48" s="460"/>
      <c r="L48" s="460"/>
    </row>
    <row r="49" spans="1:12">
      <c r="A49" s="460"/>
      <c r="B49" s="548"/>
      <c r="C49" s="514"/>
      <c r="D49" s="514"/>
      <c r="E49" s="514"/>
      <c r="F49" s="514"/>
      <c r="G49" s="514"/>
      <c r="H49" s="514"/>
      <c r="I49" s="514"/>
      <c r="J49" s="501"/>
      <c r="K49" s="460"/>
      <c r="L49" s="460"/>
    </row>
    <row r="50" spans="1:12" ht="13.5" thickBot="1">
      <c r="A50" s="460"/>
      <c r="B50" s="550"/>
      <c r="C50" s="551"/>
      <c r="D50" s="551"/>
      <c r="E50" s="551"/>
      <c r="F50" s="551"/>
      <c r="G50" s="551"/>
      <c r="H50" s="551"/>
      <c r="I50" s="551"/>
      <c r="J50" s="508"/>
      <c r="K50" s="460"/>
      <c r="L50" s="460"/>
    </row>
    <row r="51" spans="1:12" ht="13.5" thickTop="1">
      <c r="A51" s="460"/>
      <c r="B51" s="460"/>
      <c r="C51" s="460"/>
      <c r="D51" s="460"/>
      <c r="E51" s="460"/>
      <c r="F51" s="460"/>
      <c r="G51" s="460"/>
      <c r="H51" s="460"/>
      <c r="I51" s="460"/>
      <c r="J51" s="460"/>
      <c r="K51" s="460"/>
      <c r="L51" s="460"/>
    </row>
    <row r="52" spans="1:12">
      <c r="A52" s="460"/>
      <c r="B52" s="460"/>
      <c r="C52" s="460"/>
      <c r="D52" s="460"/>
      <c r="E52" s="460"/>
      <c r="F52" s="460"/>
      <c r="G52" s="460"/>
      <c r="H52" s="460"/>
      <c r="I52" s="460"/>
      <c r="J52" s="460"/>
      <c r="K52" s="460"/>
      <c r="L52" s="460"/>
    </row>
    <row r="53" spans="1:12">
      <c r="A53" s="460"/>
      <c r="B53" s="460"/>
      <c r="C53" s="460"/>
      <c r="D53" s="460"/>
      <c r="E53" s="460"/>
      <c r="F53" s="460"/>
      <c r="G53" s="460"/>
      <c r="H53" s="460"/>
      <c r="I53" s="460"/>
      <c r="J53" s="460"/>
      <c r="K53" s="460"/>
      <c r="L53" s="460"/>
    </row>
    <row r="54" spans="1:12">
      <c r="A54" s="460"/>
      <c r="B54" s="460"/>
      <c r="C54" s="460"/>
      <c r="D54" s="460"/>
      <c r="E54" s="460"/>
      <c r="F54" s="460"/>
      <c r="G54" s="460"/>
      <c r="H54" s="460"/>
      <c r="I54" s="460"/>
      <c r="J54" s="460"/>
      <c r="K54" s="460"/>
      <c r="L54" s="460"/>
    </row>
    <row r="55" spans="1:12">
      <c r="A55" s="460"/>
      <c r="B55" s="460"/>
      <c r="C55" s="460"/>
      <c r="D55" s="460"/>
      <c r="E55" s="460"/>
      <c r="F55" s="460"/>
      <c r="G55" s="460"/>
      <c r="H55" s="460"/>
      <c r="I55" s="460"/>
      <c r="J55" s="460"/>
      <c r="K55" s="460"/>
      <c r="L55" s="460"/>
    </row>
    <row r="56" spans="1:12">
      <c r="A56" s="460"/>
      <c r="B56" s="460"/>
      <c r="C56" s="460"/>
      <c r="D56" s="460"/>
      <c r="E56" s="460"/>
      <c r="F56" s="460"/>
      <c r="G56" s="460"/>
      <c r="H56" s="460"/>
      <c r="I56" s="460"/>
      <c r="J56" s="460"/>
      <c r="K56" s="460"/>
      <c r="L56" s="460"/>
    </row>
    <row r="57" spans="1:12">
      <c r="A57" s="460"/>
      <c r="B57" s="460"/>
      <c r="C57" s="460"/>
      <c r="D57" s="460"/>
      <c r="E57" s="460"/>
      <c r="F57" s="460"/>
      <c r="G57" s="460"/>
      <c r="H57" s="460"/>
      <c r="I57" s="460"/>
      <c r="J57" s="460"/>
      <c r="K57" s="460"/>
      <c r="L57" s="460"/>
    </row>
    <row r="58" spans="1:12">
      <c r="A58" s="460"/>
      <c r="B58" s="460"/>
      <c r="C58" s="460"/>
      <c r="D58" s="460"/>
      <c r="E58" s="460"/>
      <c r="F58" s="460"/>
      <c r="G58" s="460"/>
      <c r="H58" s="460"/>
      <c r="I58" s="460"/>
      <c r="J58" s="460"/>
      <c r="K58" s="460"/>
      <c r="L58" s="460"/>
    </row>
    <row r="59" spans="1:12">
      <c r="A59" s="460"/>
      <c r="B59" s="460"/>
      <c r="C59" s="460"/>
      <c r="D59" s="460"/>
      <c r="E59" s="460"/>
      <c r="F59" s="460"/>
      <c r="G59" s="460"/>
      <c r="H59" s="460"/>
      <c r="I59" s="460"/>
      <c r="J59" s="460"/>
      <c r="K59" s="460"/>
      <c r="L59" s="460"/>
    </row>
    <row r="60" spans="1:12">
      <c r="A60" s="460"/>
      <c r="B60" s="460"/>
      <c r="C60" s="460"/>
      <c r="D60" s="460"/>
      <c r="E60" s="460"/>
      <c r="F60" s="460"/>
      <c r="G60" s="460"/>
      <c r="H60" s="460"/>
      <c r="I60" s="460"/>
      <c r="J60" s="460"/>
      <c r="K60" s="460"/>
      <c r="L60" s="460"/>
    </row>
    <row r="61" spans="1:12">
      <c r="A61" s="460"/>
      <c r="B61" s="460"/>
      <c r="C61" s="460"/>
      <c r="D61" s="460"/>
      <c r="E61" s="460"/>
      <c r="F61" s="460"/>
      <c r="G61" s="460"/>
      <c r="H61" s="460"/>
      <c r="I61" s="460"/>
      <c r="J61" s="460"/>
      <c r="K61" s="460"/>
      <c r="L61" s="460"/>
    </row>
    <row r="62" spans="1:12">
      <c r="A62" s="460"/>
      <c r="B62" s="460"/>
      <c r="C62" s="460"/>
      <c r="D62" s="460"/>
      <c r="E62" s="460"/>
      <c r="F62" s="460"/>
      <c r="G62" s="460"/>
      <c r="H62" s="460"/>
      <c r="I62" s="460"/>
      <c r="J62" s="460"/>
      <c r="K62" s="460"/>
      <c r="L62" s="460"/>
    </row>
    <row r="63" spans="1:12">
      <c r="A63" s="460"/>
      <c r="B63" s="460"/>
      <c r="C63" s="460"/>
      <c r="D63" s="460"/>
      <c r="E63" s="460"/>
      <c r="F63" s="460"/>
      <c r="G63" s="460"/>
      <c r="H63" s="460"/>
      <c r="I63" s="460"/>
      <c r="J63" s="460"/>
      <c r="K63" s="460"/>
      <c r="L63" s="460"/>
    </row>
    <row r="64" spans="1:12">
      <c r="A64" s="460"/>
      <c r="B64" s="460"/>
      <c r="C64" s="460"/>
      <c r="D64" s="460"/>
      <c r="E64" s="460"/>
      <c r="F64" s="460"/>
      <c r="G64" s="460"/>
      <c r="H64" s="460"/>
      <c r="I64" s="460"/>
      <c r="J64" s="460"/>
      <c r="K64" s="460"/>
      <c r="L64" s="460"/>
    </row>
    <row r="65" spans="1:12">
      <c r="A65" s="460"/>
      <c r="B65" s="460"/>
      <c r="C65" s="460"/>
      <c r="D65" s="460"/>
      <c r="E65" s="460"/>
      <c r="F65" s="460"/>
      <c r="G65" s="460"/>
      <c r="H65" s="460"/>
      <c r="I65" s="460"/>
      <c r="J65" s="460"/>
      <c r="K65" s="460"/>
      <c r="L65" s="460"/>
    </row>
    <row r="66" spans="1:12">
      <c r="A66" s="460"/>
      <c r="B66" s="460"/>
      <c r="C66" s="460"/>
      <c r="D66" s="460"/>
      <c r="E66" s="460"/>
      <c r="F66" s="460"/>
      <c r="G66" s="460"/>
      <c r="H66" s="460"/>
      <c r="I66" s="460"/>
      <c r="J66" s="460"/>
      <c r="K66" s="460"/>
      <c r="L66" s="460"/>
    </row>
    <row r="67" spans="1:12">
      <c r="A67" s="460"/>
      <c r="B67" s="460"/>
      <c r="C67" s="460"/>
      <c r="D67" s="460"/>
      <c r="E67" s="460"/>
      <c r="F67" s="460"/>
      <c r="G67" s="460"/>
      <c r="H67" s="460"/>
      <c r="I67" s="460"/>
      <c r="J67" s="460"/>
      <c r="K67" s="460"/>
      <c r="L67" s="460"/>
    </row>
    <row r="68" spans="1:12">
      <c r="A68" s="460"/>
      <c r="B68" s="460"/>
      <c r="C68" s="460"/>
      <c r="D68" s="460"/>
      <c r="E68" s="460"/>
      <c r="F68" s="460"/>
      <c r="G68" s="460"/>
      <c r="H68" s="460"/>
      <c r="I68" s="460"/>
      <c r="J68" s="460"/>
      <c r="K68" s="460"/>
      <c r="L68" s="460"/>
    </row>
    <row r="69" spans="1:12">
      <c r="A69" s="460"/>
      <c r="B69" s="460"/>
      <c r="C69" s="460"/>
      <c r="D69" s="460"/>
      <c r="E69" s="460"/>
      <c r="F69" s="460"/>
      <c r="G69" s="460"/>
      <c r="H69" s="460"/>
      <c r="I69" s="460"/>
      <c r="J69" s="460"/>
      <c r="K69" s="460"/>
      <c r="L69" s="460"/>
    </row>
    <row r="70" spans="1:12">
      <c r="A70" s="460"/>
      <c r="B70" s="460"/>
      <c r="C70" s="460"/>
      <c r="D70" s="460"/>
      <c r="E70" s="460"/>
      <c r="F70" s="460"/>
      <c r="G70" s="460"/>
      <c r="H70" s="460"/>
      <c r="I70" s="460"/>
      <c r="J70" s="460"/>
      <c r="K70" s="460"/>
      <c r="L70" s="460"/>
    </row>
    <row r="71" spans="1:12">
      <c r="A71" s="460"/>
      <c r="B71" s="460"/>
      <c r="C71" s="460"/>
      <c r="D71" s="460"/>
      <c r="E71" s="460"/>
      <c r="F71" s="460"/>
      <c r="G71" s="460"/>
      <c r="H71" s="460"/>
      <c r="I71" s="460"/>
      <c r="J71" s="460"/>
      <c r="K71" s="460"/>
      <c r="L71" s="460"/>
    </row>
    <row r="72" spans="1:12">
      <c r="A72" s="460"/>
      <c r="B72" s="460"/>
      <c r="C72" s="460"/>
      <c r="D72" s="460"/>
      <c r="E72" s="460"/>
      <c r="F72" s="460"/>
      <c r="G72" s="460"/>
      <c r="H72" s="460"/>
      <c r="I72" s="460"/>
      <c r="J72" s="460"/>
      <c r="K72" s="460"/>
      <c r="L72" s="460"/>
    </row>
    <row r="73" spans="1:12">
      <c r="A73" s="460"/>
      <c r="B73" s="460"/>
      <c r="C73" s="460"/>
      <c r="D73" s="460"/>
      <c r="E73" s="460"/>
      <c r="F73" s="460"/>
      <c r="G73" s="460"/>
      <c r="H73" s="460"/>
      <c r="I73" s="460"/>
      <c r="J73" s="460"/>
      <c r="K73" s="460"/>
      <c r="L73" s="460"/>
    </row>
    <row r="74" spans="1:12">
      <c r="A74" s="460"/>
      <c r="B74" s="460"/>
      <c r="C74" s="460"/>
      <c r="D74" s="460"/>
      <c r="E74" s="460"/>
      <c r="F74" s="460"/>
      <c r="G74" s="460"/>
      <c r="H74" s="460"/>
      <c r="I74" s="460"/>
      <c r="J74" s="460"/>
      <c r="K74" s="460"/>
      <c r="L74" s="460"/>
    </row>
    <row r="75" spans="1:12">
      <c r="A75" s="460"/>
      <c r="B75" s="460"/>
      <c r="C75" s="460"/>
      <c r="D75" s="460"/>
      <c r="E75" s="460"/>
      <c r="F75" s="460"/>
      <c r="G75" s="460"/>
      <c r="H75" s="460"/>
      <c r="I75" s="460"/>
      <c r="J75" s="460"/>
      <c r="K75" s="460"/>
      <c r="L75" s="460"/>
    </row>
    <row r="76" spans="1:12">
      <c r="A76" s="460"/>
      <c r="B76" s="460"/>
      <c r="C76" s="460"/>
      <c r="D76" s="460"/>
      <c r="E76" s="460"/>
      <c r="F76" s="460"/>
      <c r="G76" s="460"/>
      <c r="H76" s="460"/>
      <c r="I76" s="460"/>
      <c r="J76" s="460"/>
      <c r="K76" s="460"/>
      <c r="L76" s="460"/>
    </row>
    <row r="77" spans="1:12">
      <c r="A77" s="460"/>
      <c r="B77" s="460"/>
      <c r="C77" s="460"/>
      <c r="D77" s="460"/>
      <c r="E77" s="460"/>
      <c r="F77" s="460"/>
      <c r="G77" s="460"/>
      <c r="H77" s="460"/>
      <c r="I77" s="460"/>
      <c r="J77" s="460"/>
      <c r="K77" s="460"/>
      <c r="L77" s="460"/>
    </row>
    <row r="78" spans="1:12">
      <c r="A78" s="460"/>
      <c r="B78" s="460"/>
      <c r="C78" s="460"/>
      <c r="D78" s="460"/>
      <c r="E78" s="460"/>
      <c r="F78" s="460"/>
      <c r="G78" s="460"/>
      <c r="H78" s="460"/>
      <c r="I78" s="460"/>
      <c r="J78" s="460"/>
      <c r="K78" s="460"/>
      <c r="L78" s="460"/>
    </row>
    <row r="79" spans="1:12">
      <c r="A79" s="460"/>
      <c r="B79" s="460"/>
      <c r="C79" s="460"/>
      <c r="D79" s="460"/>
      <c r="E79" s="460"/>
      <c r="F79" s="460"/>
      <c r="G79" s="460"/>
      <c r="H79" s="460"/>
      <c r="I79" s="460"/>
      <c r="J79" s="460"/>
      <c r="K79" s="460"/>
      <c r="L79" s="460"/>
    </row>
    <row r="80" spans="1:12">
      <c r="A80" s="460"/>
      <c r="B80" s="460"/>
      <c r="C80" s="460"/>
      <c r="D80" s="460"/>
      <c r="E80" s="460"/>
      <c r="F80" s="460"/>
      <c r="G80" s="460"/>
      <c r="H80" s="460"/>
      <c r="I80" s="460"/>
      <c r="J80" s="460"/>
      <c r="K80" s="460"/>
      <c r="L80" s="460"/>
    </row>
    <row r="81" spans="1:12">
      <c r="A81" s="460"/>
      <c r="B81" s="460"/>
      <c r="C81" s="460"/>
      <c r="D81" s="460"/>
      <c r="E81" s="460"/>
      <c r="F81" s="460"/>
      <c r="G81" s="460"/>
      <c r="H81" s="460"/>
      <c r="I81" s="460"/>
      <c r="J81" s="460"/>
      <c r="K81" s="460"/>
      <c r="L81" s="460"/>
    </row>
    <row r="82" spans="1:12">
      <c r="A82" s="460"/>
      <c r="B82" s="460"/>
      <c r="C82" s="460"/>
      <c r="D82" s="460"/>
      <c r="E82" s="460"/>
      <c r="F82" s="460"/>
      <c r="G82" s="460"/>
      <c r="H82" s="460"/>
      <c r="I82" s="460"/>
      <c r="J82" s="460"/>
      <c r="K82" s="460"/>
      <c r="L82" s="460"/>
    </row>
    <row r="83" spans="1:12">
      <c r="A83" s="460"/>
      <c r="B83" s="460"/>
      <c r="C83" s="460"/>
      <c r="D83" s="460"/>
      <c r="E83" s="460"/>
      <c r="F83" s="460"/>
      <c r="G83" s="460"/>
      <c r="H83" s="460"/>
      <c r="I83" s="460"/>
      <c r="J83" s="460"/>
      <c r="K83" s="460"/>
      <c r="L83" s="460"/>
    </row>
    <row r="84" spans="1:12">
      <c r="A84" s="460"/>
      <c r="B84" s="460"/>
      <c r="C84" s="460"/>
      <c r="D84" s="460"/>
      <c r="E84" s="460"/>
      <c r="F84" s="460"/>
      <c r="G84" s="460"/>
      <c r="H84" s="460"/>
      <c r="I84" s="460"/>
      <c r="J84" s="460"/>
      <c r="K84" s="460"/>
      <c r="L84" s="460"/>
    </row>
    <row r="85" spans="1:12">
      <c r="A85" s="460"/>
      <c r="B85" s="460"/>
      <c r="C85" s="460"/>
      <c r="D85" s="460"/>
      <c r="E85" s="460"/>
      <c r="F85" s="460"/>
      <c r="G85" s="460"/>
      <c r="H85" s="460"/>
      <c r="I85" s="460"/>
      <c r="J85" s="460"/>
      <c r="K85" s="460"/>
      <c r="L85" s="460"/>
    </row>
    <row r="86" spans="1:12">
      <c r="A86" s="460"/>
      <c r="B86" s="460"/>
      <c r="C86" s="460"/>
      <c r="D86" s="460"/>
      <c r="E86" s="460"/>
      <c r="F86" s="460"/>
      <c r="G86" s="460"/>
      <c r="H86" s="460"/>
      <c r="I86" s="460"/>
      <c r="J86" s="460"/>
      <c r="K86" s="460"/>
      <c r="L86" s="460"/>
    </row>
    <row r="87" spans="1:12">
      <c r="A87" s="460"/>
      <c r="B87" s="460"/>
      <c r="C87" s="460"/>
      <c r="D87" s="460"/>
      <c r="E87" s="460"/>
      <c r="F87" s="460"/>
      <c r="G87" s="460"/>
      <c r="H87" s="460"/>
      <c r="I87" s="460"/>
      <c r="J87" s="460"/>
      <c r="K87" s="460"/>
      <c r="L87" s="460"/>
    </row>
    <row r="88" spans="1:12">
      <c r="A88" s="460"/>
      <c r="B88" s="460"/>
      <c r="C88" s="460"/>
      <c r="D88" s="460"/>
      <c r="E88" s="460"/>
      <c r="F88" s="460"/>
      <c r="G88" s="460"/>
      <c r="H88" s="460"/>
      <c r="I88" s="460"/>
      <c r="J88" s="460"/>
      <c r="K88" s="460"/>
      <c r="L88" s="460"/>
    </row>
    <row r="89" spans="1:12">
      <c r="A89" s="460"/>
      <c r="B89" s="460"/>
      <c r="C89" s="460"/>
      <c r="D89" s="460"/>
      <c r="E89" s="460"/>
      <c r="F89" s="460"/>
      <c r="G89" s="460"/>
      <c r="H89" s="460"/>
      <c r="I89" s="460"/>
      <c r="J89" s="460"/>
      <c r="K89" s="460"/>
      <c r="L89" s="460"/>
    </row>
    <row r="90" spans="1:12">
      <c r="A90" s="460"/>
      <c r="B90" s="460"/>
      <c r="C90" s="460"/>
      <c r="D90" s="460"/>
      <c r="E90" s="460"/>
      <c r="F90" s="460"/>
      <c r="G90" s="460"/>
      <c r="H90" s="460"/>
      <c r="I90" s="460"/>
      <c r="J90" s="460"/>
      <c r="K90" s="460"/>
      <c r="L90" s="460"/>
    </row>
    <row r="91" spans="1:12">
      <c r="A91" s="460"/>
      <c r="B91" s="460"/>
      <c r="C91" s="460"/>
      <c r="D91" s="460"/>
      <c r="E91" s="460"/>
      <c r="F91" s="460"/>
      <c r="G91" s="460"/>
      <c r="H91" s="460"/>
      <c r="I91" s="460"/>
      <c r="J91" s="460"/>
      <c r="K91" s="460"/>
      <c r="L91" s="460"/>
    </row>
    <row r="92" spans="1:12">
      <c r="A92" s="460"/>
      <c r="B92" s="460"/>
      <c r="C92" s="460"/>
      <c r="D92" s="460"/>
      <c r="E92" s="460"/>
      <c r="F92" s="460"/>
      <c r="G92" s="460"/>
      <c r="H92" s="460"/>
      <c r="I92" s="460"/>
      <c r="J92" s="460"/>
      <c r="K92" s="460"/>
      <c r="L92" s="460"/>
    </row>
    <row r="93" spans="1:12">
      <c r="A93" s="460"/>
      <c r="B93" s="460"/>
      <c r="C93" s="460"/>
      <c r="D93" s="460"/>
      <c r="E93" s="460"/>
      <c r="F93" s="460"/>
      <c r="G93" s="460"/>
      <c r="H93" s="460"/>
      <c r="I93" s="460"/>
      <c r="J93" s="460"/>
      <c r="K93" s="460"/>
      <c r="L93" s="460"/>
    </row>
    <row r="94" spans="1:12">
      <c r="A94" s="460"/>
      <c r="B94" s="460"/>
      <c r="C94" s="460"/>
      <c r="D94" s="460"/>
      <c r="E94" s="460"/>
      <c r="F94" s="460"/>
      <c r="G94" s="460"/>
      <c r="H94" s="460"/>
      <c r="I94" s="460"/>
      <c r="J94" s="460"/>
      <c r="K94" s="460"/>
      <c r="L94" s="460"/>
    </row>
    <row r="95" spans="1:12">
      <c r="A95" s="460"/>
      <c r="B95" s="460"/>
      <c r="C95" s="460"/>
      <c r="D95" s="460"/>
      <c r="E95" s="460"/>
      <c r="F95" s="460"/>
      <c r="G95" s="460"/>
      <c r="H95" s="460"/>
      <c r="I95" s="460"/>
      <c r="J95" s="460"/>
      <c r="K95" s="460"/>
      <c r="L95" s="460"/>
    </row>
    <row r="96" spans="1:12">
      <c r="A96" s="460"/>
      <c r="B96" s="460"/>
      <c r="C96" s="460"/>
      <c r="D96" s="460"/>
      <c r="E96" s="460"/>
      <c r="F96" s="460"/>
      <c r="G96" s="460"/>
      <c r="H96" s="460"/>
      <c r="I96" s="460"/>
      <c r="J96" s="460"/>
      <c r="K96" s="460"/>
      <c r="L96" s="460"/>
    </row>
    <row r="97" spans="1:12">
      <c r="A97" s="460"/>
      <c r="B97" s="460"/>
      <c r="C97" s="460"/>
      <c r="D97" s="460"/>
      <c r="E97" s="460"/>
      <c r="F97" s="460"/>
      <c r="G97" s="460"/>
      <c r="H97" s="460"/>
      <c r="I97" s="460"/>
      <c r="J97" s="460"/>
      <c r="K97" s="460"/>
      <c r="L97" s="460"/>
    </row>
    <row r="98" spans="1:12">
      <c r="A98" s="460"/>
      <c r="B98" s="460"/>
      <c r="C98" s="460"/>
      <c r="D98" s="460"/>
      <c r="E98" s="460"/>
      <c r="F98" s="460"/>
      <c r="G98" s="460"/>
      <c r="H98" s="460"/>
      <c r="I98" s="460"/>
      <c r="J98" s="460"/>
      <c r="K98" s="460"/>
      <c r="L98" s="460"/>
    </row>
    <row r="99" spans="1:12">
      <c r="A99" s="460"/>
      <c r="B99" s="460"/>
      <c r="C99" s="460"/>
      <c r="D99" s="460"/>
      <c r="E99" s="460"/>
      <c r="F99" s="460"/>
      <c r="G99" s="460"/>
      <c r="H99" s="460"/>
      <c r="I99" s="460"/>
      <c r="J99" s="460"/>
      <c r="K99" s="460"/>
      <c r="L99" s="460"/>
    </row>
    <row r="100" spans="1:12">
      <c r="A100" s="460"/>
      <c r="B100" s="460"/>
      <c r="C100" s="460"/>
      <c r="D100" s="460"/>
      <c r="E100" s="460"/>
      <c r="F100" s="460"/>
      <c r="G100" s="460"/>
      <c r="H100" s="460"/>
      <c r="I100" s="460"/>
      <c r="J100" s="460"/>
      <c r="K100" s="460"/>
      <c r="L100" s="460"/>
    </row>
    <row r="101" spans="1:12">
      <c r="A101" s="460"/>
      <c r="B101" s="460"/>
      <c r="C101" s="460"/>
      <c r="D101" s="460"/>
      <c r="E101" s="460"/>
      <c r="F101" s="460"/>
      <c r="G101" s="460"/>
      <c r="H101" s="460"/>
      <c r="I101" s="460"/>
      <c r="J101" s="460"/>
      <c r="K101" s="460"/>
      <c r="L101" s="460"/>
    </row>
    <row r="102" spans="1:12">
      <c r="A102" s="460"/>
      <c r="B102" s="460"/>
      <c r="C102" s="460"/>
      <c r="D102" s="460"/>
      <c r="E102" s="460"/>
      <c r="F102" s="460"/>
      <c r="G102" s="460"/>
      <c r="H102" s="460"/>
      <c r="I102" s="460"/>
      <c r="J102" s="460"/>
      <c r="K102" s="460"/>
      <c r="L102" s="460"/>
    </row>
    <row r="103" spans="1:12">
      <c r="A103" s="460"/>
      <c r="B103" s="460"/>
      <c r="C103" s="460"/>
      <c r="D103" s="460"/>
      <c r="E103" s="460"/>
      <c r="F103" s="460"/>
      <c r="G103" s="460"/>
      <c r="H103" s="460"/>
      <c r="I103" s="460"/>
      <c r="J103" s="460"/>
      <c r="K103" s="460"/>
      <c r="L103" s="460"/>
    </row>
    <row r="104" spans="1:12">
      <c r="A104" s="460"/>
      <c r="B104" s="460"/>
      <c r="C104" s="460"/>
      <c r="D104" s="460"/>
      <c r="E104" s="460"/>
      <c r="F104" s="460"/>
      <c r="G104" s="460"/>
      <c r="H104" s="460"/>
      <c r="I104" s="460"/>
      <c r="J104" s="460"/>
      <c r="K104" s="460"/>
      <c r="L104" s="460"/>
    </row>
    <row r="105" spans="1:12">
      <c r="A105" s="460"/>
      <c r="B105" s="460"/>
      <c r="C105" s="460"/>
      <c r="D105" s="460"/>
      <c r="E105" s="460"/>
      <c r="F105" s="460"/>
      <c r="G105" s="460"/>
      <c r="H105" s="460"/>
      <c r="I105" s="460"/>
      <c r="J105" s="460"/>
      <c r="K105" s="460"/>
      <c r="L105" s="460"/>
    </row>
    <row r="106" spans="1:12">
      <c r="A106" s="460"/>
      <c r="B106" s="460"/>
      <c r="C106" s="460"/>
      <c r="D106" s="460"/>
      <c r="E106" s="460"/>
      <c r="F106" s="460"/>
      <c r="G106" s="460"/>
      <c r="H106" s="460"/>
      <c r="I106" s="460"/>
      <c r="J106" s="460"/>
      <c r="K106" s="460"/>
      <c r="L106" s="460"/>
    </row>
    <row r="107" spans="1:12">
      <c r="A107" s="460"/>
      <c r="B107" s="460"/>
      <c r="C107" s="460"/>
      <c r="D107" s="460"/>
      <c r="E107" s="460"/>
      <c r="F107" s="460"/>
      <c r="G107" s="460"/>
      <c r="H107" s="460"/>
      <c r="I107" s="460"/>
      <c r="J107" s="460"/>
      <c r="K107" s="460"/>
      <c r="L107" s="460"/>
    </row>
    <row r="108" spans="1:12">
      <c r="A108" s="460"/>
      <c r="B108" s="460"/>
      <c r="C108" s="460"/>
      <c r="D108" s="460"/>
      <c r="E108" s="460"/>
      <c r="F108" s="460"/>
      <c r="G108" s="460"/>
      <c r="H108" s="460"/>
      <c r="I108" s="460"/>
      <c r="J108" s="460"/>
      <c r="K108" s="460"/>
      <c r="L108" s="460"/>
    </row>
    <row r="109" spans="1:12">
      <c r="A109" s="460"/>
      <c r="B109" s="460"/>
      <c r="C109" s="460"/>
      <c r="D109" s="460"/>
      <c r="E109" s="460"/>
      <c r="F109" s="460"/>
      <c r="G109" s="460"/>
      <c r="H109" s="460"/>
      <c r="I109" s="460"/>
      <c r="J109" s="460"/>
      <c r="K109" s="460"/>
      <c r="L109" s="460"/>
    </row>
    <row r="110" spans="1:12">
      <c r="A110" s="460"/>
      <c r="B110" s="460"/>
      <c r="C110" s="460"/>
      <c r="D110" s="460"/>
      <c r="E110" s="460"/>
      <c r="F110" s="460"/>
      <c r="G110" s="460"/>
      <c r="H110" s="460"/>
      <c r="I110" s="460"/>
      <c r="J110" s="460"/>
      <c r="K110" s="460"/>
      <c r="L110" s="460"/>
    </row>
    <row r="111" spans="1:12">
      <c r="A111" s="460"/>
      <c r="B111" s="460"/>
      <c r="C111" s="460"/>
      <c r="D111" s="460"/>
      <c r="E111" s="460"/>
      <c r="F111" s="460"/>
      <c r="G111" s="460"/>
      <c r="H111" s="460"/>
      <c r="I111" s="460"/>
      <c r="J111" s="460"/>
      <c r="K111" s="460"/>
      <c r="L111" s="460"/>
    </row>
    <row r="112" spans="1:12">
      <c r="A112" s="460"/>
      <c r="B112" s="460"/>
      <c r="C112" s="460"/>
      <c r="D112" s="460"/>
      <c r="E112" s="460"/>
      <c r="F112" s="460"/>
      <c r="G112" s="460"/>
      <c r="H112" s="460"/>
      <c r="I112" s="460"/>
      <c r="J112" s="460"/>
      <c r="K112" s="460"/>
      <c r="L112" s="460"/>
    </row>
    <row r="113" spans="1:12">
      <c r="A113" s="460"/>
      <c r="B113" s="460"/>
      <c r="C113" s="460"/>
      <c r="D113" s="460"/>
      <c r="E113" s="460"/>
      <c r="F113" s="460"/>
      <c r="G113" s="460"/>
      <c r="H113" s="460"/>
      <c r="I113" s="460"/>
      <c r="J113" s="460"/>
      <c r="K113" s="460"/>
      <c r="L113" s="460"/>
    </row>
    <row r="114" spans="1:12">
      <c r="A114" s="460"/>
      <c r="B114" s="460"/>
      <c r="C114" s="460"/>
      <c r="D114" s="460"/>
      <c r="E114" s="460"/>
      <c r="F114" s="460"/>
      <c r="G114" s="460"/>
      <c r="H114" s="460"/>
      <c r="I114" s="460"/>
      <c r="J114" s="460"/>
      <c r="K114" s="460"/>
      <c r="L114" s="460"/>
    </row>
    <row r="115" spans="1:12">
      <c r="A115" s="460"/>
      <c r="B115" s="460"/>
      <c r="C115" s="460"/>
      <c r="D115" s="460"/>
      <c r="E115" s="460"/>
      <c r="F115" s="460"/>
      <c r="G115" s="460"/>
      <c r="H115" s="460"/>
      <c r="I115" s="460"/>
      <c r="J115" s="460"/>
      <c r="K115" s="460"/>
      <c r="L115" s="460"/>
    </row>
    <row r="116" spans="1:12">
      <c r="A116" s="460"/>
      <c r="B116" s="460"/>
      <c r="C116" s="460"/>
      <c r="D116" s="460"/>
      <c r="E116" s="460"/>
      <c r="F116" s="460"/>
      <c r="G116" s="460"/>
      <c r="H116" s="460"/>
      <c r="I116" s="460"/>
      <c r="J116" s="460"/>
      <c r="K116" s="460"/>
      <c r="L116" s="460"/>
    </row>
    <row r="117" spans="1:12">
      <c r="A117" s="460"/>
      <c r="B117" s="460"/>
      <c r="C117" s="460"/>
      <c r="D117" s="460"/>
      <c r="E117" s="460"/>
      <c r="F117" s="460"/>
      <c r="G117" s="460"/>
      <c r="H117" s="460"/>
      <c r="I117" s="460"/>
      <c r="J117" s="460"/>
      <c r="K117" s="460"/>
      <c r="L117" s="460"/>
    </row>
    <row r="118" spans="1:12">
      <c r="A118" s="460"/>
      <c r="B118" s="460"/>
      <c r="C118" s="460"/>
      <c r="D118" s="460"/>
      <c r="E118" s="460"/>
      <c r="F118" s="460"/>
      <c r="G118" s="460"/>
      <c r="H118" s="460"/>
      <c r="I118" s="460"/>
      <c r="J118" s="460"/>
      <c r="K118" s="460"/>
      <c r="L118" s="460"/>
    </row>
    <row r="119" spans="1:12">
      <c r="A119" s="460"/>
      <c r="B119" s="460"/>
      <c r="C119" s="460"/>
      <c r="D119" s="460"/>
      <c r="E119" s="460"/>
      <c r="F119" s="460"/>
      <c r="G119" s="460"/>
      <c r="H119" s="460"/>
      <c r="I119" s="460"/>
      <c r="J119" s="460"/>
      <c r="K119" s="460"/>
      <c r="L119" s="460"/>
    </row>
    <row r="120" spans="1:12">
      <c r="A120" s="460"/>
      <c r="B120" s="460"/>
      <c r="C120" s="460"/>
      <c r="D120" s="460"/>
      <c r="E120" s="460"/>
      <c r="F120" s="460"/>
      <c r="G120" s="460"/>
      <c r="H120" s="460"/>
      <c r="I120" s="460"/>
      <c r="J120" s="460"/>
      <c r="K120" s="460"/>
      <c r="L120" s="460"/>
    </row>
    <row r="121" spans="1:12">
      <c r="A121" s="460"/>
      <c r="B121" s="460"/>
      <c r="C121" s="460"/>
      <c r="D121" s="460"/>
      <c r="E121" s="460"/>
      <c r="F121" s="460"/>
      <c r="G121" s="460"/>
      <c r="H121" s="460"/>
      <c r="I121" s="460"/>
      <c r="J121" s="460"/>
      <c r="K121" s="460"/>
      <c r="L121" s="460"/>
    </row>
    <row r="122" spans="1:12">
      <c r="A122" s="460"/>
      <c r="B122" s="460"/>
      <c r="C122" s="460"/>
      <c r="D122" s="460"/>
      <c r="E122" s="460"/>
      <c r="F122" s="460"/>
      <c r="G122" s="460"/>
      <c r="H122" s="460"/>
      <c r="I122" s="460"/>
      <c r="J122" s="460"/>
      <c r="K122" s="460"/>
      <c r="L122" s="460"/>
    </row>
    <row r="123" spans="1:12">
      <c r="A123" s="460"/>
      <c r="B123" s="460"/>
      <c r="C123" s="460"/>
      <c r="D123" s="460"/>
      <c r="E123" s="460"/>
      <c r="F123" s="460"/>
      <c r="G123" s="460"/>
      <c r="H123" s="460"/>
      <c r="I123" s="460"/>
      <c r="J123" s="460"/>
      <c r="K123" s="460"/>
      <c r="L123" s="460"/>
    </row>
    <row r="124" spans="1:12">
      <c r="A124" s="460"/>
      <c r="B124" s="460"/>
      <c r="C124" s="460"/>
      <c r="D124" s="460"/>
      <c r="E124" s="460"/>
      <c r="F124" s="460"/>
      <c r="G124" s="460"/>
      <c r="H124" s="460"/>
      <c r="I124" s="460"/>
      <c r="J124" s="460"/>
      <c r="K124" s="460"/>
      <c r="L124" s="460"/>
    </row>
    <row r="125" spans="1:12">
      <c r="A125" s="460"/>
      <c r="B125" s="460"/>
      <c r="C125" s="460"/>
      <c r="D125" s="460"/>
      <c r="E125" s="460"/>
      <c r="F125" s="460"/>
      <c r="G125" s="460"/>
      <c r="H125" s="460"/>
      <c r="I125" s="460"/>
      <c r="J125" s="460"/>
      <c r="K125" s="460"/>
      <c r="L125" s="460"/>
    </row>
    <row r="126" spans="1:12">
      <c r="A126" s="460"/>
      <c r="B126" s="460"/>
      <c r="C126" s="460"/>
      <c r="D126" s="460"/>
      <c r="E126" s="460"/>
      <c r="F126" s="460"/>
      <c r="G126" s="460"/>
      <c r="H126" s="460"/>
      <c r="I126" s="460"/>
      <c r="J126" s="460"/>
      <c r="K126" s="460"/>
      <c r="L126" s="460"/>
    </row>
    <row r="127" spans="1:12">
      <c r="A127" s="460"/>
      <c r="B127" s="460"/>
      <c r="C127" s="460"/>
      <c r="D127" s="460"/>
      <c r="E127" s="460"/>
      <c r="F127" s="460"/>
      <c r="G127" s="460"/>
      <c r="H127" s="460"/>
      <c r="I127" s="460"/>
      <c r="J127" s="460"/>
      <c r="K127" s="460"/>
      <c r="L127" s="460"/>
    </row>
    <row r="128" spans="1:12">
      <c r="A128" s="460"/>
      <c r="B128" s="460"/>
      <c r="C128" s="460"/>
      <c r="D128" s="460"/>
      <c r="E128" s="460"/>
      <c r="F128" s="460"/>
      <c r="G128" s="460"/>
      <c r="H128" s="460"/>
      <c r="I128" s="460"/>
      <c r="J128" s="460"/>
      <c r="K128" s="460"/>
      <c r="L128" s="460"/>
    </row>
    <row r="129" spans="1:12">
      <c r="A129" s="460"/>
      <c r="B129" s="460"/>
      <c r="C129" s="460"/>
      <c r="D129" s="460"/>
      <c r="E129" s="460"/>
      <c r="F129" s="460"/>
      <c r="G129" s="460"/>
      <c r="H129" s="460"/>
      <c r="I129" s="460"/>
      <c r="J129" s="460"/>
      <c r="K129" s="460"/>
      <c r="L129" s="460"/>
    </row>
    <row r="130" spans="1:12">
      <c r="A130" s="460"/>
      <c r="B130" s="460"/>
      <c r="C130" s="460"/>
      <c r="D130" s="460"/>
      <c r="E130" s="460"/>
      <c r="F130" s="460"/>
      <c r="G130" s="460"/>
      <c r="H130" s="460"/>
      <c r="I130" s="460"/>
      <c r="J130" s="460"/>
      <c r="K130" s="460"/>
      <c r="L130" s="460"/>
    </row>
    <row r="131" spans="1:12">
      <c r="A131" s="460"/>
      <c r="B131" s="460"/>
      <c r="C131" s="460"/>
      <c r="D131" s="460"/>
      <c r="E131" s="460"/>
      <c r="F131" s="460"/>
      <c r="G131" s="460"/>
      <c r="H131" s="460"/>
      <c r="I131" s="460"/>
      <c r="J131" s="460"/>
      <c r="K131" s="460"/>
      <c r="L131" s="460"/>
    </row>
    <row r="132" spans="1:12">
      <c r="A132" s="460"/>
      <c r="B132" s="460"/>
      <c r="C132" s="460"/>
      <c r="D132" s="460"/>
      <c r="E132" s="460"/>
      <c r="F132" s="460"/>
      <c r="G132" s="460"/>
      <c r="H132" s="460"/>
      <c r="I132" s="460"/>
      <c r="J132" s="460"/>
      <c r="K132" s="460"/>
      <c r="L132" s="460"/>
    </row>
    <row r="133" spans="1:12">
      <c r="A133" s="460"/>
      <c r="B133" s="460"/>
      <c r="C133" s="460"/>
      <c r="D133" s="460"/>
      <c r="E133" s="460"/>
      <c r="F133" s="460"/>
      <c r="G133" s="460"/>
      <c r="H133" s="460"/>
      <c r="I133" s="460"/>
      <c r="J133" s="460"/>
      <c r="K133" s="460"/>
      <c r="L133" s="460"/>
    </row>
    <row r="134" spans="1:12">
      <c r="A134" s="460"/>
      <c r="B134" s="460"/>
      <c r="C134" s="460"/>
      <c r="D134" s="460"/>
      <c r="E134" s="460"/>
      <c r="F134" s="460"/>
      <c r="G134" s="460"/>
      <c r="H134" s="460"/>
      <c r="I134" s="460"/>
      <c r="J134" s="460"/>
      <c r="K134" s="460"/>
      <c r="L134" s="460"/>
    </row>
    <row r="135" spans="1:12">
      <c r="A135" s="460"/>
      <c r="B135" s="460"/>
      <c r="C135" s="460"/>
      <c r="D135" s="460"/>
      <c r="E135" s="460"/>
      <c r="F135" s="460"/>
      <c r="G135" s="460"/>
      <c r="H135" s="460"/>
      <c r="I135" s="460"/>
      <c r="J135" s="460"/>
      <c r="K135" s="460"/>
      <c r="L135" s="460"/>
    </row>
    <row r="136" spans="1:12">
      <c r="A136" s="460"/>
      <c r="B136" s="460"/>
      <c r="C136" s="460"/>
      <c r="D136" s="460"/>
      <c r="E136" s="460"/>
      <c r="F136" s="460"/>
      <c r="G136" s="460"/>
      <c r="H136" s="460"/>
      <c r="I136" s="460"/>
      <c r="J136" s="460"/>
      <c r="K136" s="460"/>
      <c r="L136" s="460"/>
    </row>
    <row r="137" spans="1:12">
      <c r="A137" s="460"/>
      <c r="B137" s="460"/>
      <c r="C137" s="460"/>
      <c r="D137" s="460"/>
      <c r="E137" s="460"/>
      <c r="F137" s="460"/>
      <c r="G137" s="460"/>
      <c r="H137" s="460"/>
      <c r="I137" s="460"/>
      <c r="J137" s="460"/>
      <c r="K137" s="460"/>
      <c r="L137" s="460"/>
    </row>
    <row r="138" spans="1:12">
      <c r="A138" s="460"/>
      <c r="B138" s="460"/>
      <c r="C138" s="460"/>
      <c r="D138" s="460"/>
      <c r="E138" s="460"/>
      <c r="F138" s="460"/>
      <c r="G138" s="460"/>
      <c r="H138" s="460"/>
      <c r="I138" s="460"/>
      <c r="J138" s="460"/>
      <c r="K138" s="460"/>
      <c r="L138" s="460"/>
    </row>
    <row r="139" spans="1:12">
      <c r="A139" s="460"/>
      <c r="B139" s="460"/>
      <c r="C139" s="460"/>
      <c r="D139" s="460"/>
      <c r="E139" s="460"/>
      <c r="F139" s="460"/>
      <c r="G139" s="460"/>
      <c r="H139" s="460"/>
      <c r="I139" s="460"/>
      <c r="J139" s="460"/>
      <c r="K139" s="460"/>
      <c r="L139" s="460"/>
    </row>
    <row r="140" spans="1:12">
      <c r="A140" s="460"/>
      <c r="B140" s="460"/>
      <c r="C140" s="460"/>
      <c r="D140" s="460"/>
      <c r="E140" s="460"/>
      <c r="F140" s="460"/>
      <c r="G140" s="460"/>
      <c r="H140" s="460"/>
      <c r="I140" s="460"/>
      <c r="J140" s="460"/>
      <c r="K140" s="460"/>
      <c r="L140" s="460"/>
    </row>
    <row r="141" spans="1:12">
      <c r="A141" s="460"/>
      <c r="B141" s="460"/>
      <c r="C141" s="460"/>
      <c r="D141" s="460"/>
      <c r="E141" s="460"/>
      <c r="F141" s="460"/>
      <c r="G141" s="460"/>
      <c r="H141" s="460"/>
      <c r="I141" s="460"/>
      <c r="J141" s="460"/>
      <c r="K141" s="460"/>
      <c r="L141" s="460"/>
    </row>
    <row r="142" spans="1:12">
      <c r="A142" s="460"/>
      <c r="B142" s="460"/>
      <c r="C142" s="460"/>
      <c r="D142" s="460"/>
      <c r="E142" s="460"/>
      <c r="F142" s="460"/>
      <c r="G142" s="460"/>
      <c r="H142" s="460"/>
      <c r="I142" s="460"/>
      <c r="J142" s="460"/>
      <c r="K142" s="460"/>
      <c r="L142" s="460"/>
    </row>
    <row r="143" spans="1:12">
      <c r="A143" s="460"/>
      <c r="B143" s="460"/>
      <c r="C143" s="460"/>
      <c r="D143" s="460"/>
      <c r="E143" s="460"/>
      <c r="F143" s="460"/>
      <c r="G143" s="460"/>
      <c r="H143" s="460"/>
      <c r="I143" s="460"/>
      <c r="J143" s="460"/>
      <c r="K143" s="460"/>
      <c r="L143" s="460"/>
    </row>
    <row r="144" spans="1:12">
      <c r="A144" s="460"/>
      <c r="B144" s="460"/>
      <c r="C144" s="460"/>
      <c r="D144" s="460"/>
      <c r="E144" s="460"/>
      <c r="F144" s="460"/>
      <c r="G144" s="460"/>
      <c r="H144" s="460"/>
      <c r="I144" s="460"/>
      <c r="J144" s="460"/>
      <c r="K144" s="460"/>
      <c r="L144" s="460"/>
    </row>
    <row r="145" spans="1:12">
      <c r="A145" s="460"/>
      <c r="B145" s="460"/>
      <c r="C145" s="460"/>
      <c r="D145" s="460"/>
      <c r="E145" s="460"/>
      <c r="F145" s="460"/>
      <c r="G145" s="460"/>
      <c r="H145" s="460"/>
      <c r="I145" s="460"/>
      <c r="J145" s="460"/>
      <c r="K145" s="460"/>
      <c r="L145" s="460"/>
    </row>
    <row r="146" spans="1:12">
      <c r="A146" s="460"/>
      <c r="B146" s="460"/>
      <c r="C146" s="460"/>
      <c r="D146" s="460"/>
      <c r="E146" s="460"/>
      <c r="F146" s="460"/>
      <c r="G146" s="460"/>
      <c r="H146" s="460"/>
      <c r="I146" s="460"/>
      <c r="J146" s="460"/>
      <c r="K146" s="460"/>
      <c r="L146" s="460"/>
    </row>
    <row r="147" spans="1:12">
      <c r="A147" s="460"/>
      <c r="B147" s="460"/>
      <c r="C147" s="460"/>
      <c r="D147" s="460"/>
      <c r="E147" s="460"/>
      <c r="F147" s="460"/>
      <c r="G147" s="460"/>
      <c r="H147" s="460"/>
      <c r="I147" s="460"/>
      <c r="J147" s="460"/>
      <c r="K147" s="460"/>
      <c r="L147" s="460"/>
    </row>
    <row r="148" spans="1:12">
      <c r="A148" s="460"/>
      <c r="B148" s="460"/>
      <c r="C148" s="460"/>
      <c r="D148" s="460"/>
      <c r="E148" s="460"/>
      <c r="F148" s="460"/>
      <c r="G148" s="460"/>
      <c r="H148" s="460"/>
      <c r="I148" s="460"/>
      <c r="J148" s="460"/>
      <c r="K148" s="460"/>
      <c r="L148" s="460"/>
    </row>
    <row r="149" spans="1:12">
      <c r="A149" s="460"/>
      <c r="B149" s="460"/>
      <c r="C149" s="460"/>
      <c r="D149" s="460"/>
      <c r="E149" s="460"/>
      <c r="F149" s="460"/>
      <c r="G149" s="460"/>
      <c r="H149" s="460"/>
      <c r="I149" s="460"/>
      <c r="J149" s="460"/>
      <c r="K149" s="460"/>
      <c r="L149" s="460"/>
    </row>
    <row r="150" spans="1:12">
      <c r="A150" s="460"/>
      <c r="B150" s="460"/>
      <c r="C150" s="460"/>
      <c r="D150" s="460"/>
      <c r="E150" s="460"/>
      <c r="F150" s="460"/>
      <c r="G150" s="460"/>
      <c r="H150" s="460"/>
      <c r="I150" s="460"/>
      <c r="J150" s="460"/>
      <c r="K150" s="460"/>
      <c r="L150" s="460"/>
    </row>
    <row r="151" spans="1:12">
      <c r="A151" s="460"/>
      <c r="B151" s="460"/>
      <c r="C151" s="460"/>
      <c r="D151" s="460"/>
      <c r="E151" s="460"/>
      <c r="F151" s="460"/>
      <c r="G151" s="460"/>
      <c r="H151" s="460"/>
      <c r="I151" s="460"/>
      <c r="J151" s="460"/>
      <c r="K151" s="460"/>
      <c r="L151" s="460"/>
    </row>
    <row r="152" spans="1:12">
      <c r="A152" s="460"/>
      <c r="B152" s="460"/>
      <c r="C152" s="460"/>
      <c r="D152" s="460"/>
      <c r="E152" s="460"/>
      <c r="F152" s="460"/>
      <c r="G152" s="460"/>
      <c r="H152" s="460"/>
      <c r="I152" s="460"/>
      <c r="J152" s="460"/>
      <c r="K152" s="460"/>
      <c r="L152" s="460"/>
    </row>
    <row r="153" spans="1:12">
      <c r="A153" s="460"/>
      <c r="B153" s="460"/>
      <c r="C153" s="460"/>
      <c r="D153" s="460"/>
      <c r="E153" s="460"/>
      <c r="F153" s="460"/>
      <c r="G153" s="460"/>
      <c r="H153" s="460"/>
      <c r="I153" s="460"/>
      <c r="J153" s="460"/>
      <c r="K153" s="460"/>
      <c r="L153" s="460"/>
    </row>
    <row r="154" spans="1:12">
      <c r="A154" s="460"/>
      <c r="B154" s="460"/>
      <c r="C154" s="460"/>
      <c r="D154" s="460"/>
      <c r="E154" s="460"/>
      <c r="F154" s="460"/>
      <c r="G154" s="460"/>
      <c r="H154" s="460"/>
      <c r="I154" s="460"/>
      <c r="J154" s="460"/>
      <c r="K154" s="460"/>
      <c r="L154" s="460"/>
    </row>
    <row r="155" spans="1:12">
      <c r="A155" s="460"/>
      <c r="B155" s="460"/>
      <c r="C155" s="460"/>
      <c r="D155" s="460"/>
      <c r="E155" s="460"/>
      <c r="F155" s="460"/>
      <c r="G155" s="460"/>
      <c r="H155" s="460"/>
      <c r="I155" s="460"/>
      <c r="J155" s="460"/>
      <c r="K155" s="460"/>
      <c r="L155" s="460"/>
    </row>
    <row r="156" spans="1:12">
      <c r="A156" s="460"/>
      <c r="B156" s="460"/>
      <c r="C156" s="460"/>
      <c r="D156" s="460"/>
      <c r="E156" s="460"/>
      <c r="F156" s="460"/>
      <c r="G156" s="460"/>
      <c r="H156" s="460"/>
      <c r="I156" s="460"/>
      <c r="J156" s="460"/>
      <c r="K156" s="460"/>
      <c r="L156" s="460"/>
    </row>
    <row r="157" spans="1:12">
      <c r="A157" s="460"/>
      <c r="B157" s="460"/>
      <c r="C157" s="460"/>
      <c r="D157" s="460"/>
      <c r="E157" s="460"/>
      <c r="F157" s="460"/>
      <c r="G157" s="460"/>
      <c r="H157" s="460"/>
      <c r="I157" s="460"/>
      <c r="J157" s="460"/>
      <c r="K157" s="460"/>
      <c r="L157" s="460"/>
    </row>
    <row r="158" spans="1:12">
      <c r="A158" s="460"/>
      <c r="B158" s="460"/>
      <c r="C158" s="460"/>
      <c r="D158" s="460"/>
      <c r="E158" s="460"/>
      <c r="F158" s="460"/>
      <c r="G158" s="460"/>
      <c r="H158" s="460"/>
      <c r="I158" s="460"/>
      <c r="J158" s="460"/>
      <c r="K158" s="460"/>
      <c r="L158" s="460"/>
    </row>
    <row r="159" spans="1:12">
      <c r="A159" s="460"/>
      <c r="B159" s="460"/>
      <c r="C159" s="460"/>
      <c r="D159" s="460"/>
      <c r="E159" s="460"/>
      <c r="F159" s="460"/>
      <c r="G159" s="460"/>
      <c r="H159" s="460"/>
      <c r="I159" s="460"/>
      <c r="J159" s="460"/>
      <c r="K159" s="460"/>
      <c r="L159" s="460"/>
    </row>
    <row r="160" spans="1:12">
      <c r="A160" s="460"/>
      <c r="B160" s="460"/>
      <c r="C160" s="460"/>
      <c r="D160" s="460"/>
      <c r="E160" s="460"/>
      <c r="F160" s="460"/>
      <c r="G160" s="460"/>
      <c r="H160" s="460"/>
      <c r="I160" s="460"/>
      <c r="J160" s="460"/>
      <c r="K160" s="460"/>
      <c r="L160" s="460"/>
    </row>
    <row r="161" spans="1:12">
      <c r="A161" s="460"/>
      <c r="B161" s="460"/>
      <c r="C161" s="460"/>
      <c r="D161" s="460"/>
      <c r="E161" s="460"/>
      <c r="F161" s="460"/>
      <c r="G161" s="460"/>
      <c r="H161" s="460"/>
      <c r="I161" s="460"/>
      <c r="J161" s="460"/>
      <c r="K161" s="460"/>
      <c r="L161" s="460"/>
    </row>
    <row r="162" spans="1:12">
      <c r="A162" s="460"/>
      <c r="B162" s="460"/>
      <c r="C162" s="460"/>
      <c r="D162" s="460"/>
      <c r="E162" s="460"/>
      <c r="F162" s="460"/>
      <c r="G162" s="460"/>
      <c r="H162" s="460"/>
      <c r="I162" s="460"/>
      <c r="J162" s="460"/>
      <c r="K162" s="460"/>
      <c r="L162" s="460"/>
    </row>
    <row r="163" spans="1:12">
      <c r="A163" s="460"/>
      <c r="B163" s="460"/>
      <c r="C163" s="460"/>
      <c r="D163" s="460"/>
      <c r="E163" s="460"/>
      <c r="F163" s="460"/>
      <c r="G163" s="460"/>
      <c r="H163" s="460"/>
      <c r="I163" s="460"/>
      <c r="J163" s="460"/>
      <c r="K163" s="460"/>
      <c r="L163" s="460"/>
    </row>
    <row r="164" spans="1:12">
      <c r="A164" s="460"/>
      <c r="B164" s="460"/>
      <c r="C164" s="460"/>
      <c r="D164" s="460"/>
      <c r="E164" s="460"/>
      <c r="F164" s="460"/>
      <c r="G164" s="460"/>
      <c r="H164" s="460"/>
      <c r="I164" s="460"/>
      <c r="J164" s="460"/>
      <c r="K164" s="460"/>
      <c r="L164" s="460"/>
    </row>
    <row r="165" spans="1:12">
      <c r="A165" s="460"/>
      <c r="B165" s="460"/>
      <c r="C165" s="460"/>
      <c r="D165" s="460"/>
      <c r="E165" s="460"/>
      <c r="F165" s="460"/>
      <c r="G165" s="460"/>
      <c r="H165" s="460"/>
      <c r="I165" s="460"/>
      <c r="J165" s="460"/>
      <c r="K165" s="460"/>
      <c r="L165" s="460"/>
    </row>
    <row r="166" spans="1:12">
      <c r="A166" s="460"/>
      <c r="B166" s="460"/>
      <c r="C166" s="460"/>
      <c r="D166" s="460"/>
      <c r="E166" s="460"/>
      <c r="F166" s="460"/>
      <c r="G166" s="460"/>
      <c r="H166" s="460"/>
      <c r="I166" s="460"/>
      <c r="J166" s="460"/>
      <c r="K166" s="460"/>
      <c r="L166" s="460"/>
    </row>
    <row r="167" spans="1:12">
      <c r="A167" s="460"/>
      <c r="B167" s="460"/>
      <c r="C167" s="460"/>
      <c r="D167" s="460"/>
      <c r="E167" s="460"/>
      <c r="F167" s="460"/>
      <c r="G167" s="460"/>
      <c r="H167" s="460"/>
      <c r="I167" s="460"/>
      <c r="J167" s="460"/>
      <c r="K167" s="460"/>
      <c r="L167" s="460"/>
    </row>
    <row r="168" spans="1:12">
      <c r="A168" s="460"/>
      <c r="B168" s="460"/>
      <c r="C168" s="460"/>
      <c r="D168" s="460"/>
      <c r="E168" s="460"/>
      <c r="F168" s="460"/>
      <c r="G168" s="460"/>
      <c r="H168" s="460"/>
      <c r="I168" s="460"/>
      <c r="J168" s="460"/>
      <c r="K168" s="460"/>
      <c r="L168" s="460"/>
    </row>
    <row r="169" spans="1:12">
      <c r="A169" s="460"/>
      <c r="B169" s="460"/>
      <c r="C169" s="460"/>
      <c r="D169" s="460"/>
      <c r="E169" s="460"/>
      <c r="F169" s="460"/>
      <c r="G169" s="460"/>
      <c r="H169" s="460"/>
      <c r="I169" s="460"/>
      <c r="J169" s="460"/>
      <c r="K169" s="460"/>
      <c r="L169" s="460"/>
    </row>
    <row r="170" spans="1:12">
      <c r="A170" s="460"/>
      <c r="B170" s="460"/>
      <c r="C170" s="460"/>
      <c r="D170" s="460"/>
      <c r="E170" s="460"/>
      <c r="F170" s="460"/>
      <c r="G170" s="460"/>
      <c r="H170" s="460"/>
      <c r="I170" s="460"/>
      <c r="J170" s="460"/>
      <c r="K170" s="460"/>
      <c r="L170" s="460"/>
    </row>
    <row r="171" spans="1:12">
      <c r="A171" s="460"/>
      <c r="B171" s="460"/>
      <c r="C171" s="460"/>
      <c r="D171" s="460"/>
      <c r="E171" s="460"/>
      <c r="F171" s="460"/>
      <c r="G171" s="460"/>
      <c r="H171" s="460"/>
      <c r="I171" s="460"/>
      <c r="J171" s="460"/>
      <c r="K171" s="460"/>
      <c r="L171" s="460"/>
    </row>
    <row r="172" spans="1:12">
      <c r="A172" s="460"/>
      <c r="B172" s="460"/>
      <c r="C172" s="460"/>
      <c r="D172" s="460"/>
      <c r="E172" s="460"/>
      <c r="F172" s="460"/>
      <c r="G172" s="460"/>
      <c r="H172" s="460"/>
      <c r="I172" s="460"/>
      <c r="J172" s="460"/>
      <c r="K172" s="460"/>
      <c r="L172" s="460"/>
    </row>
    <row r="173" spans="1:12">
      <c r="A173" s="460"/>
      <c r="B173" s="460"/>
      <c r="C173" s="460"/>
      <c r="D173" s="460"/>
      <c r="E173" s="460"/>
      <c r="F173" s="460"/>
      <c r="G173" s="460"/>
      <c r="H173" s="460"/>
      <c r="I173" s="460"/>
      <c r="J173" s="460"/>
      <c r="K173" s="460"/>
      <c r="L173" s="460"/>
    </row>
    <row r="174" spans="1:12">
      <c r="A174" s="460"/>
      <c r="B174" s="460"/>
      <c r="C174" s="460"/>
      <c r="D174" s="460"/>
      <c r="E174" s="460"/>
      <c r="F174" s="460"/>
      <c r="G174" s="460"/>
      <c r="H174" s="460"/>
      <c r="I174" s="460"/>
      <c r="J174" s="460"/>
      <c r="K174" s="460"/>
      <c r="L174" s="460"/>
    </row>
    <row r="175" spans="1:12">
      <c r="A175" s="460"/>
      <c r="B175" s="460"/>
      <c r="C175" s="460"/>
      <c r="D175" s="460"/>
      <c r="E175" s="460"/>
      <c r="F175" s="460"/>
      <c r="G175" s="460"/>
      <c r="H175" s="460"/>
      <c r="I175" s="460"/>
      <c r="J175" s="460"/>
      <c r="K175" s="460"/>
      <c r="L175" s="460"/>
    </row>
    <row r="176" spans="1:12">
      <c r="A176" s="460"/>
      <c r="B176" s="460"/>
      <c r="C176" s="460"/>
      <c r="D176" s="460"/>
      <c r="E176" s="460"/>
      <c r="F176" s="460"/>
      <c r="G176" s="460"/>
      <c r="H176" s="460"/>
      <c r="I176" s="460"/>
      <c r="J176" s="460"/>
      <c r="K176" s="460"/>
      <c r="L176" s="460"/>
    </row>
    <row r="177" spans="1:12">
      <c r="A177" s="460"/>
      <c r="B177" s="460"/>
      <c r="C177" s="460"/>
      <c r="D177" s="460"/>
      <c r="E177" s="460"/>
      <c r="F177" s="460"/>
      <c r="G177" s="460"/>
      <c r="H177" s="460"/>
      <c r="I177" s="460"/>
      <c r="J177" s="460"/>
      <c r="K177" s="460"/>
      <c r="L177" s="460"/>
    </row>
    <row r="178" spans="1:12">
      <c r="A178" s="460"/>
      <c r="B178" s="460"/>
      <c r="C178" s="460"/>
      <c r="D178" s="460"/>
      <c r="E178" s="460"/>
      <c r="F178" s="460"/>
      <c r="G178" s="460"/>
      <c r="H178" s="460"/>
      <c r="I178" s="460"/>
      <c r="J178" s="460"/>
      <c r="K178" s="460"/>
      <c r="L178" s="460"/>
    </row>
    <row r="179" spans="1:12">
      <c r="A179" s="460"/>
      <c r="B179" s="460"/>
      <c r="C179" s="460"/>
      <c r="D179" s="460"/>
      <c r="E179" s="460"/>
      <c r="F179" s="460"/>
      <c r="G179" s="460"/>
      <c r="H179" s="460"/>
      <c r="I179" s="460"/>
      <c r="J179" s="460"/>
      <c r="K179" s="460"/>
      <c r="L179" s="460"/>
    </row>
    <row r="180" spans="1:12">
      <c r="A180" s="460"/>
      <c r="B180" s="460"/>
      <c r="C180" s="460"/>
      <c r="D180" s="460"/>
      <c r="E180" s="460"/>
      <c r="F180" s="460"/>
      <c r="G180" s="460"/>
      <c r="H180" s="460"/>
      <c r="I180" s="460"/>
      <c r="J180" s="460"/>
      <c r="K180" s="460"/>
      <c r="L180" s="460"/>
    </row>
    <row r="181" spans="1:12">
      <c r="A181" s="460"/>
      <c r="B181" s="460"/>
      <c r="C181" s="460"/>
      <c r="D181" s="460"/>
      <c r="E181" s="460"/>
      <c r="F181" s="460"/>
      <c r="G181" s="460"/>
      <c r="H181" s="460"/>
      <c r="I181" s="460"/>
      <c r="J181" s="460"/>
      <c r="K181" s="460"/>
      <c r="L181" s="460"/>
    </row>
    <row r="182" spans="1:12">
      <c r="A182" s="460"/>
      <c r="B182" s="460"/>
      <c r="C182" s="460"/>
      <c r="D182" s="460"/>
      <c r="E182" s="460"/>
      <c r="F182" s="460"/>
      <c r="G182" s="460"/>
      <c r="H182" s="460"/>
      <c r="I182" s="460"/>
      <c r="J182" s="460"/>
      <c r="K182" s="460"/>
      <c r="L182" s="460"/>
    </row>
    <row r="183" spans="1:12">
      <c r="A183" s="460"/>
      <c r="B183" s="460"/>
      <c r="C183" s="460"/>
      <c r="D183" s="460"/>
      <c r="E183" s="460"/>
      <c r="F183" s="460"/>
      <c r="G183" s="460"/>
      <c r="H183" s="460"/>
      <c r="I183" s="460"/>
      <c r="J183" s="460"/>
      <c r="K183" s="460"/>
      <c r="L183" s="460"/>
    </row>
    <row r="184" spans="1:12">
      <c r="A184" s="460"/>
      <c r="B184" s="460"/>
      <c r="C184" s="460"/>
      <c r="D184" s="460"/>
      <c r="E184" s="460"/>
      <c r="F184" s="460"/>
      <c r="G184" s="460"/>
      <c r="H184" s="460"/>
      <c r="I184" s="460"/>
      <c r="J184" s="460"/>
      <c r="K184" s="460"/>
      <c r="L184" s="460"/>
    </row>
    <row r="185" spans="1:12">
      <c r="A185" s="460"/>
      <c r="B185" s="460"/>
      <c r="C185" s="460"/>
      <c r="D185" s="460"/>
      <c r="E185" s="460"/>
      <c r="F185" s="460"/>
      <c r="G185" s="460"/>
      <c r="H185" s="460"/>
      <c r="I185" s="460"/>
      <c r="J185" s="460"/>
      <c r="K185" s="460"/>
      <c r="L185" s="460"/>
    </row>
    <row r="186" spans="1:12">
      <c r="A186" s="460"/>
      <c r="B186" s="460"/>
      <c r="C186" s="460"/>
      <c r="D186" s="460"/>
      <c r="E186" s="460"/>
      <c r="F186" s="460"/>
      <c r="G186" s="460"/>
      <c r="H186" s="460"/>
      <c r="I186" s="460"/>
      <c r="J186" s="460"/>
      <c r="K186" s="460"/>
      <c r="L186" s="460"/>
    </row>
    <row r="187" spans="1:12">
      <c r="A187" s="460"/>
      <c r="B187" s="460"/>
      <c r="C187" s="460"/>
      <c r="D187" s="460"/>
      <c r="E187" s="460"/>
      <c r="F187" s="460"/>
      <c r="G187" s="460"/>
      <c r="H187" s="460"/>
      <c r="I187" s="460"/>
      <c r="J187" s="460"/>
      <c r="K187" s="460"/>
      <c r="L187" s="460"/>
    </row>
    <row r="188" spans="1:12">
      <c r="A188" s="460"/>
      <c r="B188" s="460"/>
      <c r="C188" s="460"/>
      <c r="D188" s="460"/>
      <c r="E188" s="460"/>
      <c r="F188" s="460"/>
      <c r="G188" s="460"/>
      <c r="H188" s="460"/>
      <c r="I188" s="460"/>
      <c r="J188" s="460"/>
      <c r="K188" s="460"/>
      <c r="L188" s="460"/>
    </row>
    <row r="189" spans="1:12">
      <c r="A189" s="460"/>
      <c r="B189" s="460"/>
      <c r="C189" s="460"/>
      <c r="D189" s="460"/>
      <c r="E189" s="460"/>
      <c r="F189" s="460"/>
      <c r="G189" s="460"/>
      <c r="H189" s="460"/>
      <c r="I189" s="460"/>
      <c r="J189" s="460"/>
      <c r="K189" s="460"/>
      <c r="L189" s="460"/>
    </row>
    <row r="190" spans="1:12">
      <c r="A190" s="460"/>
      <c r="B190" s="460"/>
      <c r="C190" s="460"/>
      <c r="D190" s="460"/>
      <c r="E190" s="460"/>
      <c r="F190" s="460"/>
      <c r="G190" s="460"/>
      <c r="H190" s="460"/>
      <c r="I190" s="460"/>
      <c r="J190" s="460"/>
      <c r="K190" s="460"/>
      <c r="L190" s="460"/>
    </row>
    <row r="191" spans="1:12">
      <c r="A191" s="460"/>
      <c r="B191" s="460"/>
      <c r="C191" s="460"/>
      <c r="D191" s="460"/>
      <c r="E191" s="460"/>
      <c r="F191" s="460"/>
      <c r="G191" s="460"/>
      <c r="H191" s="460"/>
      <c r="I191" s="460"/>
      <c r="J191" s="460"/>
      <c r="K191" s="460"/>
      <c r="L191" s="460"/>
    </row>
    <row r="192" spans="1:12">
      <c r="A192" s="460"/>
      <c r="B192" s="460"/>
      <c r="C192" s="460"/>
      <c r="D192" s="460"/>
      <c r="E192" s="460"/>
      <c r="F192" s="460"/>
      <c r="G192" s="460"/>
      <c r="H192" s="460"/>
      <c r="I192" s="460"/>
      <c r="J192" s="460"/>
      <c r="K192" s="460"/>
      <c r="L192" s="460"/>
    </row>
    <row r="193" spans="1:12">
      <c r="A193" s="460"/>
      <c r="B193" s="460"/>
      <c r="C193" s="460"/>
      <c r="D193" s="460"/>
      <c r="E193" s="460"/>
      <c r="F193" s="460"/>
      <c r="G193" s="460"/>
      <c r="H193" s="460"/>
      <c r="I193" s="460"/>
      <c r="J193" s="460"/>
      <c r="K193" s="460"/>
      <c r="L193" s="460"/>
    </row>
    <row r="194" spans="1:12">
      <c r="A194" s="460"/>
      <c r="B194" s="460"/>
      <c r="C194" s="460"/>
      <c r="D194" s="460"/>
      <c r="E194" s="460"/>
      <c r="F194" s="460"/>
      <c r="G194" s="460"/>
      <c r="H194" s="460"/>
      <c r="I194" s="460"/>
      <c r="J194" s="460"/>
      <c r="K194" s="460"/>
      <c r="L194" s="460"/>
    </row>
    <row r="195" spans="1:12">
      <c r="A195" s="460"/>
      <c r="B195" s="460"/>
      <c r="C195" s="460"/>
      <c r="D195" s="460"/>
      <c r="E195" s="460"/>
      <c r="F195" s="460"/>
      <c r="G195" s="460"/>
      <c r="H195" s="460"/>
      <c r="I195" s="460"/>
      <c r="J195" s="460"/>
      <c r="K195" s="460"/>
      <c r="L195" s="460"/>
    </row>
    <row r="196" spans="1:12">
      <c r="A196" s="460"/>
      <c r="B196" s="460"/>
      <c r="C196" s="460"/>
      <c r="D196" s="460"/>
      <c r="E196" s="460"/>
      <c r="F196" s="460"/>
      <c r="G196" s="460"/>
      <c r="H196" s="460"/>
      <c r="I196" s="460"/>
      <c r="J196" s="460"/>
      <c r="K196" s="460"/>
      <c r="L196" s="460"/>
    </row>
    <row r="197" spans="1:12">
      <c r="A197" s="460"/>
      <c r="B197" s="460"/>
      <c r="C197" s="460"/>
      <c r="D197" s="460"/>
      <c r="E197" s="460"/>
      <c r="F197" s="460"/>
      <c r="G197" s="460"/>
      <c r="H197" s="460"/>
      <c r="I197" s="460"/>
      <c r="J197" s="460"/>
      <c r="K197" s="460"/>
      <c r="L197" s="460"/>
    </row>
    <row r="198" spans="1:12">
      <c r="A198" s="460"/>
      <c r="B198" s="460"/>
      <c r="C198" s="460"/>
      <c r="D198" s="460"/>
      <c r="E198" s="460"/>
      <c r="F198" s="460"/>
      <c r="G198" s="460"/>
      <c r="H198" s="460"/>
      <c r="I198" s="460"/>
      <c r="J198" s="460"/>
      <c r="K198" s="460"/>
      <c r="L198" s="460"/>
    </row>
    <row r="199" spans="1:12">
      <c r="A199" s="460"/>
      <c r="B199" s="460"/>
      <c r="C199" s="460"/>
      <c r="D199" s="460"/>
      <c r="E199" s="460"/>
      <c r="F199" s="460"/>
      <c r="G199" s="460"/>
      <c r="H199" s="460"/>
      <c r="I199" s="460"/>
      <c r="J199" s="460"/>
      <c r="K199" s="460"/>
      <c r="L199" s="460"/>
    </row>
    <row r="200" spans="1:12">
      <c r="A200" s="460"/>
      <c r="B200" s="460"/>
      <c r="C200" s="460"/>
      <c r="D200" s="460"/>
      <c r="E200" s="460"/>
      <c r="F200" s="460"/>
      <c r="G200" s="460"/>
      <c r="H200" s="460"/>
      <c r="I200" s="460"/>
      <c r="J200" s="460"/>
      <c r="K200" s="460"/>
      <c r="L200" s="460"/>
    </row>
    <row r="201" spans="1:12">
      <c r="A201" s="460"/>
      <c r="B201" s="460"/>
      <c r="C201" s="460"/>
      <c r="D201" s="460"/>
      <c r="E201" s="460"/>
      <c r="F201" s="460"/>
      <c r="G201" s="460"/>
      <c r="H201" s="460"/>
      <c r="I201" s="460"/>
      <c r="J201" s="460"/>
      <c r="K201" s="460"/>
      <c r="L201" s="460"/>
    </row>
    <row r="202" spans="1:12">
      <c r="A202" s="460"/>
      <c r="B202" s="460"/>
      <c r="C202" s="460"/>
      <c r="D202" s="460"/>
      <c r="E202" s="460"/>
      <c r="F202" s="460"/>
      <c r="G202" s="460"/>
      <c r="H202" s="460"/>
      <c r="I202" s="460"/>
      <c r="J202" s="460"/>
      <c r="K202" s="460"/>
      <c r="L202" s="460"/>
    </row>
    <row r="203" spans="1:12">
      <c r="A203" s="460"/>
      <c r="B203" s="460"/>
      <c r="C203" s="460"/>
      <c r="D203" s="460"/>
      <c r="E203" s="460"/>
      <c r="F203" s="460"/>
      <c r="G203" s="460"/>
      <c r="H203" s="460"/>
      <c r="I203" s="460"/>
      <c r="J203" s="460"/>
      <c r="K203" s="460"/>
      <c r="L203" s="460"/>
    </row>
    <row r="204" spans="1:12">
      <c r="A204" s="460"/>
      <c r="B204" s="460"/>
      <c r="C204" s="460"/>
      <c r="D204" s="460"/>
      <c r="E204" s="460"/>
      <c r="F204" s="460"/>
      <c r="G204" s="460"/>
      <c r="H204" s="460"/>
      <c r="I204" s="460"/>
      <c r="J204" s="460"/>
      <c r="K204" s="460"/>
      <c r="L204" s="460"/>
    </row>
    <row r="205" spans="1:12">
      <c r="A205" s="460"/>
      <c r="B205" s="460"/>
      <c r="C205" s="460"/>
      <c r="D205" s="460"/>
      <c r="E205" s="460"/>
      <c r="F205" s="460"/>
      <c r="G205" s="460"/>
      <c r="H205" s="460"/>
      <c r="I205" s="460"/>
      <c r="J205" s="460"/>
      <c r="K205" s="460"/>
      <c r="L205" s="460"/>
    </row>
    <row r="206" spans="1:12">
      <c r="A206" s="460"/>
      <c r="B206" s="460"/>
      <c r="C206" s="460"/>
      <c r="D206" s="460"/>
      <c r="E206" s="460"/>
      <c r="F206" s="460"/>
      <c r="G206" s="460"/>
      <c r="H206" s="460"/>
      <c r="I206" s="460"/>
      <c r="J206" s="460"/>
      <c r="K206" s="460"/>
      <c r="L206" s="460"/>
    </row>
    <row r="207" spans="1:12">
      <c r="A207" s="460"/>
      <c r="B207" s="460"/>
      <c r="C207" s="460"/>
      <c r="D207" s="460"/>
      <c r="E207" s="460"/>
      <c r="F207" s="460"/>
      <c r="G207" s="460"/>
      <c r="H207" s="460"/>
      <c r="I207" s="460"/>
      <c r="J207" s="460"/>
      <c r="K207" s="460"/>
      <c r="L207" s="460"/>
    </row>
    <row r="208" spans="1:12">
      <c r="A208" s="460"/>
      <c r="B208" s="460"/>
      <c r="C208" s="460"/>
      <c r="D208" s="460"/>
      <c r="E208" s="460"/>
      <c r="F208" s="460"/>
      <c r="G208" s="460"/>
      <c r="H208" s="460"/>
      <c r="I208" s="460"/>
      <c r="J208" s="460"/>
      <c r="K208" s="460"/>
      <c r="L208" s="460"/>
    </row>
    <row r="209" spans="1:12">
      <c r="A209" s="460"/>
      <c r="B209" s="460"/>
      <c r="C209" s="460"/>
      <c r="D209" s="460"/>
      <c r="E209" s="460"/>
      <c r="F209" s="460"/>
      <c r="G209" s="460"/>
      <c r="H209" s="460"/>
      <c r="I209" s="460"/>
      <c r="J209" s="460"/>
      <c r="K209" s="460"/>
      <c r="L209" s="460"/>
    </row>
    <row r="210" spans="1:12">
      <c r="A210" s="460"/>
      <c r="B210" s="460"/>
      <c r="C210" s="460"/>
      <c r="D210" s="460"/>
      <c r="E210" s="460"/>
      <c r="F210" s="460"/>
      <c r="G210" s="460"/>
      <c r="H210" s="460"/>
      <c r="I210" s="460"/>
      <c r="J210" s="460"/>
      <c r="K210" s="460"/>
      <c r="L210" s="460"/>
    </row>
    <row r="211" spans="1:12">
      <c r="A211" s="460"/>
      <c r="B211" s="460"/>
      <c r="C211" s="460"/>
      <c r="D211" s="460"/>
      <c r="E211" s="460"/>
      <c r="F211" s="460"/>
      <c r="G211" s="460"/>
      <c r="H211" s="460"/>
      <c r="I211" s="460"/>
      <c r="J211" s="460"/>
      <c r="K211" s="460"/>
      <c r="L211" s="460"/>
    </row>
    <row r="212" spans="1:12">
      <c r="A212" s="460"/>
      <c r="B212" s="460"/>
      <c r="C212" s="460"/>
      <c r="D212" s="460"/>
      <c r="E212" s="460"/>
      <c r="F212" s="460"/>
      <c r="G212" s="460"/>
      <c r="H212" s="460"/>
      <c r="I212" s="460"/>
      <c r="J212" s="460"/>
      <c r="K212" s="460"/>
      <c r="L212" s="460"/>
    </row>
    <row r="213" spans="1:12">
      <c r="A213" s="460"/>
      <c r="B213" s="460"/>
      <c r="C213" s="460"/>
      <c r="D213" s="460"/>
      <c r="E213" s="460"/>
      <c r="F213" s="460"/>
      <c r="G213" s="460"/>
      <c r="H213" s="460"/>
      <c r="I213" s="460"/>
      <c r="J213" s="460"/>
      <c r="K213" s="460"/>
      <c r="L213" s="460"/>
    </row>
    <row r="214" spans="1:12">
      <c r="A214" s="460"/>
      <c r="B214" s="460"/>
      <c r="C214" s="460"/>
      <c r="D214" s="460"/>
      <c r="E214" s="460"/>
      <c r="F214" s="460"/>
      <c r="G214" s="460"/>
      <c r="H214" s="460"/>
      <c r="I214" s="460"/>
      <c r="J214" s="460"/>
      <c r="K214" s="460"/>
      <c r="L214" s="460"/>
    </row>
    <row r="215" spans="1:12">
      <c r="A215" s="460"/>
      <c r="B215" s="460"/>
      <c r="C215" s="460"/>
      <c r="D215" s="460"/>
      <c r="E215" s="460"/>
      <c r="F215" s="460"/>
      <c r="G215" s="460"/>
      <c r="H215" s="460"/>
      <c r="I215" s="460"/>
      <c r="J215" s="460"/>
      <c r="K215" s="460"/>
      <c r="L215" s="460"/>
    </row>
    <row r="216" spans="1:12">
      <c r="A216" s="460"/>
      <c r="B216" s="460"/>
      <c r="C216" s="460"/>
      <c r="D216" s="460"/>
      <c r="E216" s="460"/>
      <c r="F216" s="460"/>
      <c r="G216" s="460"/>
      <c r="H216" s="460"/>
      <c r="I216" s="460"/>
      <c r="J216" s="460"/>
      <c r="K216" s="460"/>
      <c r="L216" s="460"/>
    </row>
    <row r="217" spans="1:12">
      <c r="A217" s="460"/>
      <c r="B217" s="460"/>
      <c r="C217" s="460"/>
      <c r="D217" s="460"/>
      <c r="E217" s="460"/>
      <c r="F217" s="460"/>
      <c r="G217" s="460"/>
      <c r="H217" s="460"/>
      <c r="I217" s="460"/>
      <c r="J217" s="460"/>
      <c r="K217" s="460"/>
      <c r="L217" s="460"/>
    </row>
    <row r="218" spans="1:12">
      <c r="A218" s="460"/>
      <c r="B218" s="460"/>
      <c r="C218" s="460"/>
      <c r="D218" s="460"/>
      <c r="E218" s="460"/>
      <c r="F218" s="460"/>
      <c r="G218" s="460"/>
      <c r="H218" s="460"/>
      <c r="I218" s="460"/>
      <c r="J218" s="460"/>
      <c r="K218" s="460"/>
      <c r="L218" s="460"/>
    </row>
    <row r="219" spans="1:12">
      <c r="A219" s="460"/>
      <c r="B219" s="460"/>
      <c r="C219" s="460"/>
      <c r="D219" s="460"/>
      <c r="E219" s="460"/>
      <c r="F219" s="460"/>
      <c r="G219" s="460"/>
      <c r="H219" s="460"/>
      <c r="I219" s="460"/>
      <c r="J219" s="460"/>
      <c r="K219" s="460"/>
      <c r="L219" s="460"/>
    </row>
    <row r="220" spans="1:12">
      <c r="A220" s="460"/>
      <c r="B220" s="460"/>
      <c r="C220" s="460"/>
      <c r="D220" s="460"/>
      <c r="E220" s="460"/>
      <c r="F220" s="460"/>
      <c r="G220" s="460"/>
      <c r="H220" s="460"/>
      <c r="I220" s="460"/>
      <c r="J220" s="460"/>
      <c r="K220" s="460"/>
      <c r="L220" s="460"/>
    </row>
    <row r="221" spans="1:12">
      <c r="A221" s="460"/>
      <c r="B221" s="460"/>
      <c r="C221" s="460"/>
      <c r="D221" s="460"/>
      <c r="E221" s="460"/>
      <c r="F221" s="460"/>
      <c r="G221" s="460"/>
      <c r="H221" s="460"/>
      <c r="I221" s="460"/>
      <c r="J221" s="460"/>
      <c r="K221" s="460"/>
      <c r="L221" s="460"/>
    </row>
    <row r="222" spans="1:12">
      <c r="A222" s="460"/>
      <c r="B222" s="460"/>
      <c r="C222" s="460"/>
      <c r="D222" s="460"/>
      <c r="E222" s="460"/>
      <c r="F222" s="460"/>
      <c r="G222" s="460"/>
      <c r="H222" s="460"/>
      <c r="I222" s="460"/>
      <c r="J222" s="460"/>
      <c r="K222" s="460"/>
      <c r="L222" s="460"/>
    </row>
    <row r="223" spans="1:12">
      <c r="A223" s="460"/>
      <c r="B223" s="460"/>
      <c r="C223" s="460"/>
      <c r="D223" s="460"/>
      <c r="E223" s="460"/>
      <c r="F223" s="460"/>
      <c r="G223" s="460"/>
      <c r="H223" s="460"/>
      <c r="I223" s="460"/>
      <c r="J223" s="460"/>
      <c r="K223" s="460"/>
      <c r="L223" s="460"/>
    </row>
    <row r="224" spans="1:12">
      <c r="A224" s="460"/>
      <c r="B224" s="460"/>
      <c r="C224" s="460"/>
      <c r="D224" s="460"/>
      <c r="E224" s="460"/>
      <c r="F224" s="460"/>
      <c r="G224" s="460"/>
      <c r="H224" s="460"/>
      <c r="I224" s="460"/>
      <c r="J224" s="460"/>
      <c r="K224" s="460"/>
      <c r="L224" s="460"/>
    </row>
    <row r="225" spans="1:12">
      <c r="A225" s="460"/>
      <c r="B225" s="460"/>
      <c r="C225" s="460"/>
      <c r="D225" s="460"/>
      <c r="E225" s="460"/>
      <c r="F225" s="460"/>
      <c r="G225" s="460"/>
      <c r="H225" s="460"/>
      <c r="I225" s="460"/>
      <c r="J225" s="460"/>
      <c r="K225" s="460"/>
      <c r="L225" s="460"/>
    </row>
    <row r="226" spans="1:12">
      <c r="A226" s="460"/>
      <c r="B226" s="460"/>
      <c r="C226" s="460"/>
      <c r="D226" s="460"/>
      <c r="E226" s="460"/>
      <c r="F226" s="460"/>
      <c r="G226" s="460"/>
      <c r="H226" s="460"/>
      <c r="I226" s="460"/>
      <c r="J226" s="460"/>
      <c r="K226" s="460"/>
      <c r="L226" s="460"/>
    </row>
    <row r="227" spans="1:12">
      <c r="A227" s="460"/>
      <c r="B227" s="460"/>
      <c r="C227" s="460"/>
      <c r="D227" s="460"/>
      <c r="E227" s="460"/>
      <c r="F227" s="460"/>
      <c r="G227" s="460"/>
      <c r="H227" s="460"/>
      <c r="I227" s="460"/>
      <c r="J227" s="460"/>
      <c r="K227" s="460"/>
      <c r="L227" s="460"/>
    </row>
    <row r="228" spans="1:12">
      <c r="A228" s="460"/>
      <c r="B228" s="460"/>
      <c r="C228" s="460"/>
      <c r="D228" s="460"/>
      <c r="E228" s="460"/>
      <c r="F228" s="460"/>
      <c r="G228" s="460"/>
      <c r="H228" s="460"/>
      <c r="I228" s="460"/>
      <c r="J228" s="460"/>
      <c r="K228" s="460"/>
      <c r="L228" s="460"/>
    </row>
    <row r="229" spans="1:12">
      <c r="A229" s="460"/>
      <c r="B229" s="460"/>
      <c r="C229" s="460"/>
      <c r="D229" s="460"/>
      <c r="E229" s="460"/>
      <c r="F229" s="460"/>
      <c r="G229" s="460"/>
      <c r="H229" s="460"/>
      <c r="I229" s="460"/>
      <c r="J229" s="460"/>
      <c r="K229" s="460"/>
      <c r="L229" s="460"/>
    </row>
    <row r="230" spans="1:12">
      <c r="A230" s="460"/>
      <c r="B230" s="460"/>
      <c r="C230" s="460"/>
      <c r="D230" s="460"/>
      <c r="E230" s="460"/>
      <c r="F230" s="460"/>
      <c r="G230" s="460"/>
      <c r="H230" s="460"/>
      <c r="I230" s="460"/>
      <c r="J230" s="460"/>
      <c r="K230" s="460"/>
      <c r="L230" s="460"/>
    </row>
    <row r="231" spans="1:12">
      <c r="A231" s="460"/>
      <c r="B231" s="460"/>
      <c r="C231" s="460"/>
      <c r="D231" s="460"/>
      <c r="E231" s="460"/>
      <c r="F231" s="460"/>
      <c r="G231" s="460"/>
      <c r="H231" s="460"/>
      <c r="I231" s="460"/>
      <c r="J231" s="460"/>
      <c r="K231" s="460"/>
      <c r="L231" s="460"/>
    </row>
    <row r="232" spans="1:12">
      <c r="A232" s="460"/>
      <c r="B232" s="460"/>
      <c r="C232" s="460"/>
      <c r="D232" s="460"/>
      <c r="E232" s="460"/>
      <c r="F232" s="460"/>
      <c r="G232" s="460"/>
      <c r="H232" s="460"/>
      <c r="I232" s="460"/>
      <c r="J232" s="460"/>
      <c r="K232" s="460"/>
      <c r="L232" s="460"/>
    </row>
    <row r="233" spans="1:12">
      <c r="A233" s="460"/>
      <c r="B233" s="460"/>
      <c r="C233" s="460"/>
      <c r="D233" s="460"/>
      <c r="E233" s="460"/>
      <c r="F233" s="460"/>
      <c r="G233" s="460"/>
      <c r="H233" s="460"/>
      <c r="I233" s="460"/>
      <c r="J233" s="460"/>
      <c r="K233" s="460"/>
      <c r="L233" s="460"/>
    </row>
    <row r="234" spans="1:12">
      <c r="A234" s="460"/>
      <c r="B234" s="460"/>
      <c r="C234" s="460"/>
      <c r="D234" s="460"/>
      <c r="E234" s="460"/>
      <c r="F234" s="460"/>
      <c r="G234" s="460"/>
      <c r="H234" s="460"/>
      <c r="I234" s="460"/>
      <c r="J234" s="460"/>
      <c r="K234" s="460"/>
      <c r="L234" s="460"/>
    </row>
    <row r="235" spans="1:12">
      <c r="A235" s="460"/>
      <c r="B235" s="460"/>
      <c r="C235" s="460"/>
      <c r="D235" s="460"/>
      <c r="E235" s="460"/>
      <c r="F235" s="460"/>
      <c r="G235" s="460"/>
      <c r="H235" s="460"/>
      <c r="I235" s="460"/>
      <c r="J235" s="460"/>
      <c r="K235" s="460"/>
      <c r="L235" s="460"/>
    </row>
    <row r="236" spans="1:12">
      <c r="A236" s="460"/>
      <c r="B236" s="460"/>
      <c r="C236" s="460"/>
      <c r="D236" s="460"/>
      <c r="E236" s="460"/>
      <c r="F236" s="460"/>
      <c r="G236" s="460"/>
      <c r="H236" s="460"/>
      <c r="I236" s="460"/>
      <c r="J236" s="460"/>
      <c r="K236" s="460"/>
      <c r="L236" s="460"/>
    </row>
    <row r="237" spans="1:12">
      <c r="A237" s="460"/>
      <c r="B237" s="460"/>
      <c r="C237" s="460"/>
      <c r="D237" s="460"/>
      <c r="E237" s="460"/>
      <c r="F237" s="460"/>
      <c r="G237" s="460"/>
      <c r="H237" s="460"/>
      <c r="I237" s="460"/>
      <c r="J237" s="460"/>
      <c r="K237" s="460"/>
      <c r="L237" s="460"/>
    </row>
    <row r="238" spans="1:12">
      <c r="A238" s="460"/>
      <c r="B238" s="460"/>
      <c r="C238" s="460"/>
      <c r="D238" s="460"/>
      <c r="E238" s="460"/>
      <c r="F238" s="460"/>
      <c r="G238" s="460"/>
      <c r="H238" s="460"/>
      <c r="I238" s="460"/>
      <c r="J238" s="460"/>
      <c r="K238" s="460"/>
      <c r="L238" s="460"/>
    </row>
    <row r="239" spans="1:12">
      <c r="A239" s="460"/>
      <c r="B239" s="460"/>
      <c r="C239" s="460"/>
      <c r="D239" s="460"/>
      <c r="E239" s="460"/>
      <c r="F239" s="460"/>
      <c r="G239" s="460"/>
      <c r="H239" s="460"/>
      <c r="I239" s="460"/>
      <c r="J239" s="460"/>
      <c r="K239" s="460"/>
      <c r="L239" s="460"/>
    </row>
    <row r="240" spans="1:12">
      <c r="A240" s="460"/>
      <c r="B240" s="460"/>
      <c r="C240" s="460"/>
      <c r="D240" s="460"/>
      <c r="E240" s="460"/>
      <c r="F240" s="460"/>
      <c r="G240" s="460"/>
      <c r="H240" s="460"/>
      <c r="I240" s="460"/>
      <c r="J240" s="460"/>
      <c r="K240" s="460"/>
      <c r="L240" s="460"/>
    </row>
    <row r="241" spans="1:12">
      <c r="A241" s="460"/>
      <c r="B241" s="460"/>
      <c r="C241" s="460"/>
      <c r="D241" s="460"/>
      <c r="E241" s="460"/>
      <c r="F241" s="460"/>
      <c r="G241" s="460"/>
      <c r="H241" s="460"/>
      <c r="I241" s="460"/>
      <c r="J241" s="460"/>
      <c r="K241" s="460"/>
      <c r="L241" s="460"/>
    </row>
    <row r="242" spans="1:12">
      <c r="A242" s="460"/>
      <c r="B242" s="460"/>
      <c r="C242" s="460"/>
      <c r="D242" s="460"/>
      <c r="E242" s="460"/>
      <c r="F242" s="460"/>
      <c r="G242" s="460"/>
      <c r="H242" s="460"/>
      <c r="I242" s="460"/>
      <c r="J242" s="460"/>
      <c r="K242" s="460"/>
      <c r="L242" s="460"/>
    </row>
  </sheetData>
  <mergeCells count="3">
    <mergeCell ref="B3:I3"/>
    <mergeCell ref="B5:I5"/>
    <mergeCell ref="B6:I6"/>
  </mergeCells>
  <dataValidations count="1">
    <dataValidation type="decimal" allowBlank="1" showInputMessage="1" showErrorMessage="1" error="Enter only as a decimal or as 0 (zero).  The range is 0 to .30 (30 percent)." prompt="Enter as a decimal or 0 (zero).  For example, enter .30 for 30%." sqref="F42">
      <formula1>0</formula1>
      <formula2>0.3</formula2>
    </dataValidation>
  </dataValidations>
  <pageMargins left="0.25" right="0.25" top="1" bottom="1" header="0.5" footer="0.5"/>
  <pageSetup scale="67" orientation="landscape" blackAndWhite="1" r:id="rId1"/>
  <headerFooter alignWithMargins="0"/>
  <legacyDrawing r:id="rId2"/>
</worksheet>
</file>

<file path=xl/worksheets/sheet17.xml><?xml version="1.0" encoding="utf-8"?>
<worksheet xmlns="http://schemas.openxmlformats.org/spreadsheetml/2006/main" xmlns:r="http://schemas.openxmlformats.org/officeDocument/2006/relationships">
  <sheetPr codeName="Sheet7">
    <pageSetUpPr fitToPage="1"/>
  </sheetPr>
  <dimension ref="A1:J263"/>
  <sheetViews>
    <sheetView showGridLines="0" topLeftCell="A31" zoomScale="85" zoomScaleNormal="85" workbookViewId="0">
      <selection activeCell="H38" sqref="H38"/>
    </sheetView>
  </sheetViews>
  <sheetFormatPr defaultColWidth="8.85546875" defaultRowHeight="12.75"/>
  <cols>
    <col min="1" max="1" width="8.85546875" style="91"/>
    <col min="2" max="2" width="10.140625" style="129" customWidth="1"/>
    <col min="3" max="3" width="41.85546875" style="91" customWidth="1"/>
    <col min="4" max="8" width="17.85546875" style="91" customWidth="1"/>
    <col min="9" max="9" width="6.140625" style="128" customWidth="1"/>
    <col min="10" max="10" width="10.28515625" style="91" customWidth="1"/>
    <col min="11" max="16384" width="8.85546875" style="91"/>
  </cols>
  <sheetData>
    <row r="1" spans="1:10">
      <c r="A1" s="185"/>
      <c r="B1" s="714" t="str">
        <f>TestYear &amp; " Test Year"</f>
        <v>2015 Test Year</v>
      </c>
      <c r="C1" s="665"/>
      <c r="D1" s="665"/>
      <c r="E1" s="665"/>
      <c r="F1" s="665"/>
      <c r="G1" s="665"/>
      <c r="H1" s="666"/>
      <c r="I1" s="666" t="s">
        <v>393</v>
      </c>
      <c r="J1" s="185"/>
    </row>
    <row r="2" spans="1:10">
      <c r="A2" s="185"/>
      <c r="B2" s="667"/>
      <c r="C2" s="665"/>
      <c r="D2" s="665"/>
      <c r="E2" s="665"/>
      <c r="F2" s="668"/>
      <c r="G2" s="665"/>
      <c r="H2" s="665"/>
      <c r="I2" s="660"/>
      <c r="J2" s="185"/>
    </row>
    <row r="3" spans="1:10">
      <c r="A3" s="185"/>
      <c r="B3" s="1973" t="str">
        <f>Utility</f>
        <v>MADISON WATER UTILITY</v>
      </c>
      <c r="C3" s="1973"/>
      <c r="D3" s="1973"/>
      <c r="E3" s="1973"/>
      <c r="F3" s="1973"/>
      <c r="G3" s="1973"/>
      <c r="H3" s="1973"/>
      <c r="I3" s="1973"/>
      <c r="J3" s="185"/>
    </row>
    <row r="4" spans="1:10">
      <c r="A4" s="185"/>
      <c r="B4" s="667"/>
      <c r="C4" s="665"/>
      <c r="D4" s="669"/>
      <c r="E4" s="669"/>
      <c r="F4" s="669"/>
      <c r="G4" s="665"/>
      <c r="H4" s="665"/>
      <c r="I4" s="660"/>
      <c r="J4" s="185"/>
    </row>
    <row r="5" spans="1:10">
      <c r="A5" s="185"/>
      <c r="B5" s="1974" t="s">
        <v>394</v>
      </c>
      <c r="C5" s="1974"/>
      <c r="D5" s="1974"/>
      <c r="E5" s="1974"/>
      <c r="F5" s="1974"/>
      <c r="G5" s="1974"/>
      <c r="H5" s="1974"/>
      <c r="I5" s="1974"/>
      <c r="J5" s="185"/>
    </row>
    <row r="6" spans="1:10" ht="13.5" thickBot="1">
      <c r="A6" s="185"/>
      <c r="B6" s="1975" t="str">
        <f>CONCATENATE("Estimated for Test Year ",TestYear)</f>
        <v>Estimated for Test Year 2015</v>
      </c>
      <c r="C6" s="1975"/>
      <c r="D6" s="1975"/>
      <c r="E6" s="1975"/>
      <c r="F6" s="1975"/>
      <c r="G6" s="1975"/>
      <c r="H6" s="1975"/>
      <c r="I6" s="1975"/>
      <c r="J6" s="185"/>
    </row>
    <row r="7" spans="1:10" ht="13.5" thickTop="1">
      <c r="A7" s="185"/>
      <c r="B7" s="690"/>
      <c r="C7" s="691"/>
      <c r="D7" s="691"/>
      <c r="E7" s="691"/>
      <c r="F7" s="691"/>
      <c r="G7" s="691"/>
      <c r="H7" s="691"/>
      <c r="I7" s="692"/>
      <c r="J7" s="185"/>
    </row>
    <row r="8" spans="1:10" ht="15">
      <c r="A8" s="185"/>
      <c r="B8" s="707" t="s">
        <v>395</v>
      </c>
      <c r="C8" s="708"/>
      <c r="D8" s="708"/>
      <c r="E8" s="708"/>
      <c r="F8" s="708"/>
      <c r="G8" s="709" t="str">
        <f>Data!H5</f>
        <v>Estimated</v>
      </c>
      <c r="H8" s="710" t="s">
        <v>396</v>
      </c>
      <c r="I8" s="696"/>
      <c r="J8" s="185"/>
    </row>
    <row r="9" spans="1:10" ht="15">
      <c r="A9" s="185"/>
      <c r="B9" s="711" t="s">
        <v>397</v>
      </c>
      <c r="C9" s="712" t="s">
        <v>398</v>
      </c>
      <c r="D9" s="713">
        <f>TestYear-4</f>
        <v>2011</v>
      </c>
      <c r="E9" s="713">
        <f>TestYear-3</f>
        <v>2012</v>
      </c>
      <c r="F9" s="713">
        <f>TestYear-2</f>
        <v>2013</v>
      </c>
      <c r="G9" s="713">
        <f>TestYear-1</f>
        <v>2014</v>
      </c>
      <c r="H9" s="713">
        <f>TestYear</f>
        <v>2015</v>
      </c>
      <c r="I9" s="696"/>
      <c r="J9" s="185"/>
    </row>
    <row r="10" spans="1:10" ht="14.25">
      <c r="A10" s="185"/>
      <c r="B10" s="693"/>
      <c r="C10" s="695"/>
      <c r="D10" s="694"/>
      <c r="E10" s="694"/>
      <c r="F10" s="694"/>
      <c r="G10" s="694"/>
      <c r="H10" s="695"/>
      <c r="I10" s="696"/>
      <c r="J10" s="185"/>
    </row>
    <row r="11" spans="1:10" ht="15">
      <c r="A11" s="185"/>
      <c r="B11" s="707">
        <v>460</v>
      </c>
      <c r="C11" s="682" t="s">
        <v>399</v>
      </c>
      <c r="D11" s="698"/>
      <c r="E11" s="698"/>
      <c r="F11" s="698"/>
      <c r="G11" s="698"/>
      <c r="H11" s="682"/>
      <c r="I11" s="696"/>
      <c r="J11" s="185"/>
    </row>
    <row r="12" spans="1:10" ht="15">
      <c r="A12" s="185"/>
      <c r="B12" s="707"/>
      <c r="C12" s="682" t="s">
        <v>400</v>
      </c>
      <c r="D12" s="678">
        <f>Data!B2</f>
        <v>0</v>
      </c>
      <c r="E12" s="678">
        <f>Data!C2</f>
        <v>0</v>
      </c>
      <c r="F12" s="678">
        <f>Data!D2</f>
        <v>0</v>
      </c>
      <c r="G12" s="741">
        <f>Data!E2</f>
        <v>0</v>
      </c>
      <c r="H12" s="680">
        <v>0</v>
      </c>
      <c r="I12" s="696"/>
      <c r="J12" s="185"/>
    </row>
    <row r="13" spans="1:10" ht="15">
      <c r="A13" s="185"/>
      <c r="B13" s="707"/>
      <c r="C13" s="682" t="s">
        <v>941</v>
      </c>
      <c r="D13" s="683">
        <f>Data!H10</f>
        <v>0</v>
      </c>
      <c r="E13" s="683">
        <f>Data!I10</f>
        <v>0</v>
      </c>
      <c r="F13" s="683">
        <f>Data!J10</f>
        <v>0</v>
      </c>
      <c r="G13" s="1812">
        <f>Data!K10</f>
        <v>0</v>
      </c>
      <c r="H13" s="718">
        <v>0</v>
      </c>
      <c r="I13" s="696"/>
      <c r="J13" s="185"/>
    </row>
    <row r="14" spans="1:10" ht="15">
      <c r="A14" s="185"/>
      <c r="B14" s="707"/>
      <c r="C14" s="682" t="s">
        <v>401</v>
      </c>
      <c r="D14" s="683">
        <f>Data!B3</f>
        <v>84361</v>
      </c>
      <c r="E14" s="683">
        <f>Data!C3</f>
        <v>110945</v>
      </c>
      <c r="F14" s="683">
        <f>Data!D3</f>
        <v>72497</v>
      </c>
      <c r="G14" s="1818">
        <v>70000</v>
      </c>
      <c r="H14" s="1818">
        <v>70000</v>
      </c>
      <c r="I14" s="696"/>
      <c r="J14" s="185"/>
    </row>
    <row r="15" spans="1:10" ht="15">
      <c r="A15" s="185"/>
      <c r="B15" s="707"/>
      <c r="C15" s="682" t="s">
        <v>402</v>
      </c>
      <c r="D15" s="683">
        <f>Data!B4</f>
        <v>0</v>
      </c>
      <c r="E15" s="683">
        <f>Data!C4</f>
        <v>0</v>
      </c>
      <c r="F15" s="683">
        <f>Data!D4</f>
        <v>0</v>
      </c>
      <c r="G15" s="1813">
        <f>Data!E4</f>
        <v>0</v>
      </c>
      <c r="H15" s="718">
        <v>0</v>
      </c>
      <c r="I15" s="696"/>
      <c r="J15" s="185"/>
    </row>
    <row r="16" spans="1:10" ht="15">
      <c r="A16" s="185"/>
      <c r="B16" s="707"/>
      <c r="C16" s="682" t="s">
        <v>403</v>
      </c>
      <c r="D16" s="683">
        <f>Data!B5</f>
        <v>0</v>
      </c>
      <c r="E16" s="683">
        <f>Data!C5</f>
        <v>0</v>
      </c>
      <c r="F16" s="683">
        <f>Data!D5</f>
        <v>0</v>
      </c>
      <c r="G16" s="1813">
        <f>Data!E5</f>
        <v>0</v>
      </c>
      <c r="H16" s="718">
        <v>0</v>
      </c>
      <c r="I16" s="696"/>
      <c r="J16" s="185"/>
    </row>
    <row r="17" spans="1:10" ht="15">
      <c r="A17" s="185"/>
      <c r="B17" s="707"/>
      <c r="C17" s="682" t="s">
        <v>909</v>
      </c>
      <c r="D17" s="684">
        <f>Data!H11</f>
        <v>0</v>
      </c>
      <c r="E17" s="684">
        <f>Data!I11</f>
        <v>0</v>
      </c>
      <c r="F17" s="684">
        <f>Data!J11</f>
        <v>0</v>
      </c>
      <c r="G17" s="1814">
        <f>Data!K11</f>
        <v>0</v>
      </c>
      <c r="H17" s="718">
        <v>0</v>
      </c>
      <c r="I17" s="696"/>
      <c r="J17" s="185"/>
    </row>
    <row r="18" spans="1:10" ht="15">
      <c r="A18" s="185"/>
      <c r="B18" s="707"/>
      <c r="C18" s="682"/>
      <c r="D18" s="683"/>
      <c r="E18" s="683"/>
      <c r="F18" s="683"/>
      <c r="G18" s="683"/>
      <c r="H18" s="687"/>
      <c r="I18" s="696"/>
      <c r="J18" s="185"/>
    </row>
    <row r="19" spans="1:10" ht="15">
      <c r="A19" s="185"/>
      <c r="B19" s="707"/>
      <c r="C19" s="682" t="s">
        <v>404</v>
      </c>
      <c r="D19" s="685">
        <f>SUM(D12:D17)</f>
        <v>84361</v>
      </c>
      <c r="E19" s="685">
        <f>SUM(E12:E17)</f>
        <v>110945</v>
      </c>
      <c r="F19" s="685">
        <f>SUM(F12:F17)</f>
        <v>72497</v>
      </c>
      <c r="G19" s="685">
        <f>SUM(G12:G17)</f>
        <v>70000</v>
      </c>
      <c r="H19" s="685">
        <f>SUM(H12:H17)</f>
        <v>70000</v>
      </c>
      <c r="I19" s="696"/>
      <c r="J19" s="185"/>
    </row>
    <row r="20" spans="1:10" ht="15">
      <c r="A20" s="185"/>
      <c r="B20" s="707"/>
      <c r="C20" s="682"/>
      <c r="D20" s="686"/>
      <c r="E20" s="686"/>
      <c r="F20" s="686"/>
      <c r="G20" s="686"/>
      <c r="H20" s="688"/>
      <c r="I20" s="696"/>
      <c r="J20" s="185"/>
    </row>
    <row r="21" spans="1:10" ht="15">
      <c r="A21" s="185"/>
      <c r="B21" s="707">
        <v>461</v>
      </c>
      <c r="C21" s="682" t="s">
        <v>405</v>
      </c>
      <c r="D21" s="683"/>
      <c r="E21" s="683"/>
      <c r="F21" s="683"/>
      <c r="G21" s="683"/>
      <c r="H21" s="687"/>
      <c r="I21" s="696"/>
      <c r="J21" s="185"/>
    </row>
    <row r="22" spans="1:10" ht="15">
      <c r="A22" s="185"/>
      <c r="B22" s="707"/>
      <c r="C22" s="682" t="s">
        <v>400</v>
      </c>
      <c r="D22" s="678">
        <f>Data!B6</f>
        <v>11276176</v>
      </c>
      <c r="E22" s="678">
        <f>Data!C6</f>
        <v>12545053</v>
      </c>
      <c r="F22" s="678">
        <f>Data!D6</f>
        <v>11124051</v>
      </c>
      <c r="G22" s="1815">
        <f>Attach2B!G36</f>
        <v>11272537.08</v>
      </c>
      <c r="H22" s="678">
        <f>Attach3B!G35</f>
        <v>11350335.444338534</v>
      </c>
      <c r="I22" s="696" t="s">
        <v>406</v>
      </c>
      <c r="J22" s="185"/>
    </row>
    <row r="23" spans="1:10" ht="15">
      <c r="A23" s="185"/>
      <c r="B23" s="707"/>
      <c r="C23" s="682" t="s">
        <v>941</v>
      </c>
      <c r="D23" s="716">
        <f>Data!H12</f>
        <v>0</v>
      </c>
      <c r="E23" s="716">
        <f>Data!I12</f>
        <v>0</v>
      </c>
      <c r="F23" s="683">
        <f>Data!J12</f>
        <v>4728127</v>
      </c>
      <c r="G23" s="1817">
        <v>4699698.0999999996</v>
      </c>
      <c r="H23" s="683">
        <f>Attach3B!H35</f>
        <v>4708070.9608851075</v>
      </c>
      <c r="I23" s="696" t="s">
        <v>406</v>
      </c>
      <c r="J23" s="185"/>
    </row>
    <row r="24" spans="1:10" ht="15">
      <c r="A24" s="185"/>
      <c r="B24" s="707"/>
      <c r="C24" s="682" t="s">
        <v>401</v>
      </c>
      <c r="D24" s="683">
        <f>Data!B7</f>
        <v>8728065</v>
      </c>
      <c r="E24" s="683">
        <f>Data!C7</f>
        <v>9231997</v>
      </c>
      <c r="F24" s="683">
        <f>Data!D7</f>
        <v>4156373</v>
      </c>
      <c r="G24" s="1818">
        <v>4120426.8699999996</v>
      </c>
      <c r="H24" s="683">
        <f>Attach3B!I35</f>
        <v>4145204.96</v>
      </c>
      <c r="I24" s="696" t="s">
        <v>406</v>
      </c>
      <c r="J24" s="185"/>
    </row>
    <row r="25" spans="1:10" ht="15">
      <c r="A25" s="185"/>
      <c r="B25" s="707"/>
      <c r="C25" s="682" t="s">
        <v>402</v>
      </c>
      <c r="D25" s="683">
        <f>Data!B8</f>
        <v>1281860</v>
      </c>
      <c r="E25" s="683">
        <f>Data!C8</f>
        <v>1136010</v>
      </c>
      <c r="F25" s="683">
        <f>Data!D8</f>
        <v>1153442</v>
      </c>
      <c r="G25" s="1818">
        <f>Attach2B!J36</f>
        <v>1078225.0900000001</v>
      </c>
      <c r="H25" s="683">
        <f>Attach3B!J35</f>
        <v>1074632.2372747476</v>
      </c>
      <c r="I25" s="696" t="s">
        <v>406</v>
      </c>
      <c r="J25" s="185"/>
    </row>
    <row r="26" spans="1:10" ht="15">
      <c r="A26" s="185"/>
      <c r="B26" s="707"/>
      <c r="C26" s="682" t="s">
        <v>403</v>
      </c>
      <c r="D26" s="683">
        <f>Data!B9</f>
        <v>2721500</v>
      </c>
      <c r="E26" s="683">
        <f>Data!C9</f>
        <v>2814579</v>
      </c>
      <c r="F26" s="683">
        <f>Data!D9</f>
        <v>2834934</v>
      </c>
      <c r="G26" s="1818">
        <f>Attach2B!K36</f>
        <v>2676591.71</v>
      </c>
      <c r="H26" s="683">
        <f>Attach3B!K35</f>
        <v>2750033.3689814568</v>
      </c>
      <c r="I26" s="696" t="s">
        <v>406</v>
      </c>
      <c r="J26" s="185"/>
    </row>
    <row r="27" spans="1:10" ht="15">
      <c r="A27" s="185"/>
      <c r="B27" s="707"/>
      <c r="C27" s="682" t="s">
        <v>909</v>
      </c>
      <c r="D27" s="684">
        <f>Data!H13</f>
        <v>0</v>
      </c>
      <c r="E27" s="684">
        <f>Data!I13</f>
        <v>0</v>
      </c>
      <c r="F27" s="684">
        <f>Data!J13</f>
        <v>0</v>
      </c>
      <c r="G27" s="1819">
        <f>Data!K13</f>
        <v>0</v>
      </c>
      <c r="H27" s="717">
        <f>Attach3B!L35</f>
        <v>0</v>
      </c>
      <c r="I27" s="696" t="s">
        <v>406</v>
      </c>
      <c r="J27" s="185"/>
    </row>
    <row r="28" spans="1:10" ht="15">
      <c r="A28" s="185"/>
      <c r="B28" s="707"/>
      <c r="C28" s="682"/>
      <c r="D28" s="698"/>
      <c r="E28" s="698"/>
      <c r="F28" s="698"/>
      <c r="G28" s="698"/>
      <c r="H28" s="682"/>
      <c r="I28" s="699"/>
      <c r="J28" s="185"/>
    </row>
    <row r="29" spans="1:10" ht="15">
      <c r="A29" s="185"/>
      <c r="B29" s="707"/>
      <c r="C29" s="682" t="s">
        <v>407</v>
      </c>
      <c r="D29" s="685">
        <f>SUM(D22:D27)</f>
        <v>24007601</v>
      </c>
      <c r="E29" s="685">
        <f>SUM(E22:E27)</f>
        <v>25727639</v>
      </c>
      <c r="F29" s="685">
        <f>SUM(F22:F27)</f>
        <v>23996927</v>
      </c>
      <c r="G29" s="685">
        <f>SUM(G22:G27)</f>
        <v>23847478.850000001</v>
      </c>
      <c r="H29" s="685">
        <f>SUM(H22:H27)</f>
        <v>24028276.971479848</v>
      </c>
      <c r="I29" s="696"/>
      <c r="J29" s="185"/>
    </row>
    <row r="30" spans="1:10" ht="15">
      <c r="A30" s="185"/>
      <c r="B30" s="707"/>
      <c r="C30" s="682"/>
      <c r="D30" s="686"/>
      <c r="E30" s="686"/>
      <c r="F30" s="686"/>
      <c r="G30" s="686"/>
      <c r="H30" s="688"/>
      <c r="I30" s="696"/>
      <c r="J30" s="185"/>
    </row>
    <row r="31" spans="1:10" ht="15">
      <c r="A31" s="185"/>
      <c r="B31" s="707"/>
      <c r="C31" s="682"/>
      <c r="D31" s="683"/>
      <c r="E31" s="683"/>
      <c r="F31" s="683"/>
      <c r="G31" s="683"/>
      <c r="H31" s="687"/>
      <c r="I31" s="696"/>
      <c r="J31" s="185"/>
    </row>
    <row r="32" spans="1:10" ht="15">
      <c r="A32" s="185"/>
      <c r="B32" s="707">
        <v>462</v>
      </c>
      <c r="C32" s="682" t="s">
        <v>408</v>
      </c>
      <c r="D32" s="678">
        <f>Data!B10</f>
        <v>368866</v>
      </c>
      <c r="E32" s="678">
        <f>Data!C10</f>
        <v>367791</v>
      </c>
      <c r="F32" s="678">
        <f>Data!D10</f>
        <v>377184</v>
      </c>
      <c r="G32" s="1815">
        <f>Attach6!H22</f>
        <v>377180</v>
      </c>
      <c r="H32" s="678">
        <f>Attach6!I44</f>
        <v>377180</v>
      </c>
      <c r="I32" s="696" t="s">
        <v>409</v>
      </c>
      <c r="J32" s="185"/>
    </row>
    <row r="33" spans="1:10" ht="15">
      <c r="A33" s="185"/>
      <c r="B33" s="707">
        <v>463</v>
      </c>
      <c r="C33" s="682" t="s">
        <v>410</v>
      </c>
      <c r="D33" s="683">
        <f>Data!B11</f>
        <v>2891812</v>
      </c>
      <c r="E33" s="683">
        <f>Data!C11</f>
        <v>2873140</v>
      </c>
      <c r="F33" s="683">
        <f>Data!D11</f>
        <v>2925698</v>
      </c>
      <c r="G33" s="1818">
        <f>H33-Attach5!D54*Attach5!D50*Attach3B!E41</f>
        <v>3047526</v>
      </c>
      <c r="H33" s="683">
        <f>Attach4!H37</f>
        <v>3051126</v>
      </c>
      <c r="I33" s="696" t="s">
        <v>411</v>
      </c>
      <c r="J33" s="185"/>
    </row>
    <row r="34" spans="1:10" ht="15">
      <c r="A34" s="185"/>
      <c r="B34" s="707">
        <v>465</v>
      </c>
      <c r="C34" s="682" t="s">
        <v>412</v>
      </c>
      <c r="D34" s="683">
        <f>Data!B12</f>
        <v>0</v>
      </c>
      <c r="E34" s="683">
        <f>Data!C12</f>
        <v>0</v>
      </c>
      <c r="F34" s="683">
        <f>Data!D12</f>
        <v>0</v>
      </c>
      <c r="G34" s="1818">
        <f>Data!E12</f>
        <v>0</v>
      </c>
      <c r="H34" s="718">
        <v>0</v>
      </c>
      <c r="I34" s="696"/>
      <c r="J34" s="185"/>
    </row>
    <row r="35" spans="1:10" ht="15">
      <c r="A35" s="185"/>
      <c r="B35" s="707">
        <v>466</v>
      </c>
      <c r="C35" s="682" t="s">
        <v>413</v>
      </c>
      <c r="D35" s="683">
        <f>Data!B13</f>
        <v>357400</v>
      </c>
      <c r="E35" s="683">
        <f>Data!C13</f>
        <v>330242</v>
      </c>
      <c r="F35" s="683">
        <f>Data!D13</f>
        <v>344064</v>
      </c>
      <c r="G35" s="1818">
        <v>340847.56</v>
      </c>
      <c r="H35" s="683">
        <f>Attach3W!K32</f>
        <v>334967.34557486628</v>
      </c>
      <c r="I35" s="696"/>
      <c r="J35" s="185"/>
    </row>
    <row r="36" spans="1:10" ht="15">
      <c r="A36" s="185"/>
      <c r="B36" s="707">
        <v>467</v>
      </c>
      <c r="C36" s="682" t="s">
        <v>414</v>
      </c>
      <c r="D36" s="684">
        <f>Data!B14</f>
        <v>0</v>
      </c>
      <c r="E36" s="684">
        <f>Data!C14</f>
        <v>0</v>
      </c>
      <c r="F36" s="684">
        <f>Data!D14</f>
        <v>0</v>
      </c>
      <c r="G36" s="1819">
        <f>Data!E14</f>
        <v>0</v>
      </c>
      <c r="H36" s="718">
        <v>0</v>
      </c>
      <c r="I36" s="696"/>
      <c r="J36" s="185"/>
    </row>
    <row r="37" spans="1:10" ht="15">
      <c r="A37" s="185"/>
      <c r="B37" s="707"/>
      <c r="C37" s="682"/>
      <c r="D37" s="686"/>
      <c r="E37" s="686"/>
      <c r="F37" s="686"/>
      <c r="G37" s="686"/>
      <c r="H37" s="688"/>
      <c r="I37" s="696"/>
      <c r="J37" s="185"/>
    </row>
    <row r="38" spans="1:10" ht="15">
      <c r="A38" s="185"/>
      <c r="B38" s="707"/>
      <c r="C38" s="682" t="s">
        <v>415</v>
      </c>
      <c r="D38" s="685">
        <f>D19+D29+SUM(D32:D36)</f>
        <v>27710040</v>
      </c>
      <c r="E38" s="685">
        <f>E19+E29+SUM(E32:E36)</f>
        <v>29409757</v>
      </c>
      <c r="F38" s="685">
        <f>F19+F29+SUM(F32:F36)</f>
        <v>27716370</v>
      </c>
      <c r="G38" s="685">
        <f>G19+G29+SUM(G32:G36)</f>
        <v>27683032.41</v>
      </c>
      <c r="H38" s="685">
        <f>H19+H29+SUM(H32:H36)</f>
        <v>27861550.317054715</v>
      </c>
      <c r="I38" s="696"/>
      <c r="J38" s="185"/>
    </row>
    <row r="39" spans="1:10" ht="15">
      <c r="A39" s="185"/>
      <c r="B39" s="707"/>
      <c r="C39" s="682"/>
      <c r="D39" s="686"/>
      <c r="E39" s="686"/>
      <c r="F39" s="686"/>
      <c r="G39" s="686"/>
      <c r="H39" s="688"/>
      <c r="I39" s="696"/>
      <c r="J39" s="185"/>
    </row>
    <row r="40" spans="1:10" ht="15">
      <c r="A40" s="185"/>
      <c r="B40" s="707"/>
      <c r="C40" s="682"/>
      <c r="D40" s="683"/>
      <c r="E40" s="683"/>
      <c r="F40" s="683"/>
      <c r="G40" s="683"/>
      <c r="H40" s="687"/>
      <c r="I40" s="696"/>
      <c r="J40" s="185"/>
    </row>
    <row r="41" spans="1:10" ht="15">
      <c r="A41" s="185"/>
      <c r="B41" s="707"/>
      <c r="C41" s="682" t="s">
        <v>416</v>
      </c>
      <c r="D41" s="683"/>
      <c r="E41" s="683"/>
      <c r="F41" s="683"/>
      <c r="G41" s="683"/>
      <c r="H41" s="687"/>
      <c r="I41" s="696"/>
      <c r="J41" s="185"/>
    </row>
    <row r="42" spans="1:10" ht="15">
      <c r="A42" s="185"/>
      <c r="B42" s="707">
        <v>470</v>
      </c>
      <c r="C42" s="682" t="s">
        <v>417</v>
      </c>
      <c r="D42" s="678">
        <f>Data!B15</f>
        <v>279237</v>
      </c>
      <c r="E42" s="678">
        <f>Data!C15</f>
        <v>262111</v>
      </c>
      <c r="F42" s="678">
        <f>Data!D15</f>
        <v>260382</v>
      </c>
      <c r="G42" s="1815">
        <v>260000</v>
      </c>
      <c r="H42" s="680">
        <v>260000</v>
      </c>
      <c r="I42" s="696"/>
      <c r="J42" s="185"/>
    </row>
    <row r="43" spans="1:10" ht="15">
      <c r="A43" s="185"/>
      <c r="B43" s="707">
        <v>472</v>
      </c>
      <c r="C43" s="682" t="s">
        <v>418</v>
      </c>
      <c r="D43" s="683">
        <f>Data!B16</f>
        <v>261294</v>
      </c>
      <c r="E43" s="683">
        <f>Data!C16</f>
        <v>261211</v>
      </c>
      <c r="F43" s="683">
        <f>Data!D16</f>
        <v>395803</v>
      </c>
      <c r="G43" s="1818">
        <v>400000</v>
      </c>
      <c r="H43" s="718">
        <v>400000</v>
      </c>
      <c r="I43" s="696"/>
      <c r="J43" s="185"/>
    </row>
    <row r="44" spans="1:10" ht="15">
      <c r="A44" s="185"/>
      <c r="B44" s="707">
        <v>473</v>
      </c>
      <c r="C44" s="682" t="s">
        <v>419</v>
      </c>
      <c r="D44" s="683">
        <f>Data!B17</f>
        <v>0</v>
      </c>
      <c r="E44" s="683">
        <f>Data!C17</f>
        <v>0</v>
      </c>
      <c r="F44" s="683">
        <f>Data!D17</f>
        <v>0</v>
      </c>
      <c r="G44" s="1818">
        <f>Data!E17</f>
        <v>0</v>
      </c>
      <c r="H44" s="718">
        <v>0</v>
      </c>
      <c r="I44" s="696"/>
      <c r="J44" s="185"/>
    </row>
    <row r="45" spans="1:10" ht="15">
      <c r="A45" s="185"/>
      <c r="B45" s="707">
        <v>474</v>
      </c>
      <c r="C45" s="682" t="s">
        <v>420</v>
      </c>
      <c r="D45" s="684">
        <f>Data!B18</f>
        <v>201006</v>
      </c>
      <c r="E45" s="684">
        <f>Data!C18</f>
        <v>274119</v>
      </c>
      <c r="F45" s="684">
        <f>Data!D18</f>
        <v>549727</v>
      </c>
      <c r="G45" s="1819">
        <v>550000</v>
      </c>
      <c r="H45" s="718">
        <v>550000</v>
      </c>
      <c r="I45" s="696"/>
      <c r="J45" s="185"/>
    </row>
    <row r="46" spans="1:10" ht="15">
      <c r="A46" s="185"/>
      <c r="B46" s="707"/>
      <c r="C46" s="682"/>
      <c r="D46" s="688"/>
      <c r="E46" s="688"/>
      <c r="F46" s="688"/>
      <c r="G46" s="688"/>
      <c r="H46" s="688"/>
      <c r="I46" s="696"/>
      <c r="J46" s="185"/>
    </row>
    <row r="47" spans="1:10" ht="15">
      <c r="A47" s="185"/>
      <c r="B47" s="707"/>
      <c r="C47" s="682" t="s">
        <v>421</v>
      </c>
      <c r="D47" s="685">
        <f>SUM(D42:D46)</f>
        <v>741537</v>
      </c>
      <c r="E47" s="685">
        <f>SUM(E42:E46)</f>
        <v>797441</v>
      </c>
      <c r="F47" s="685">
        <f>SUM(F42:F46)</f>
        <v>1205912</v>
      </c>
      <c r="G47" s="685">
        <f>SUM(G42:G46)</f>
        <v>1210000</v>
      </c>
      <c r="H47" s="685">
        <f>SUM(H42:H46)</f>
        <v>1210000</v>
      </c>
      <c r="I47" s="696"/>
      <c r="J47" s="185"/>
    </row>
    <row r="48" spans="1:10" ht="15">
      <c r="A48" s="185"/>
      <c r="B48" s="707"/>
      <c r="C48" s="682"/>
      <c r="D48" s="688"/>
      <c r="E48" s="688"/>
      <c r="F48" s="688"/>
      <c r="G48" s="688"/>
      <c r="H48" s="688"/>
      <c r="I48" s="696"/>
      <c r="J48" s="185"/>
    </row>
    <row r="49" spans="1:10" ht="14.25">
      <c r="A49" s="185"/>
      <c r="B49" s="693"/>
      <c r="C49" s="682"/>
      <c r="D49" s="687"/>
      <c r="E49" s="687"/>
      <c r="F49" s="687"/>
      <c r="G49" s="687"/>
      <c r="H49" s="687"/>
      <c r="I49" s="696"/>
      <c r="J49" s="185"/>
    </row>
    <row r="50" spans="1:10" ht="15" thickBot="1">
      <c r="A50" s="185"/>
      <c r="B50" s="693"/>
      <c r="C50" s="682" t="s">
        <v>422</v>
      </c>
      <c r="D50" s="689">
        <f>D38+D47</f>
        <v>28451577</v>
      </c>
      <c r="E50" s="689">
        <f>E38+E47</f>
        <v>30207198</v>
      </c>
      <c r="F50" s="689">
        <f>F38+F47</f>
        <v>28922282</v>
      </c>
      <c r="G50" s="689">
        <f>G38+G47</f>
        <v>28893032.41</v>
      </c>
      <c r="H50" s="689">
        <f>H38+H47</f>
        <v>29071550.317054715</v>
      </c>
      <c r="I50" s="696"/>
      <c r="J50" s="185"/>
    </row>
    <row r="51" spans="1:10" ht="13.5" thickTop="1">
      <c r="A51" s="185"/>
      <c r="B51" s="700"/>
      <c r="C51" s="673"/>
      <c r="D51" s="701"/>
      <c r="E51" s="701"/>
      <c r="F51" s="701"/>
      <c r="G51" s="701"/>
      <c r="H51" s="701"/>
      <c r="I51" s="696"/>
      <c r="J51" s="185"/>
    </row>
    <row r="52" spans="1:10">
      <c r="A52" s="185"/>
      <c r="B52" s="700"/>
      <c r="C52" s="673"/>
      <c r="D52" s="673"/>
      <c r="E52" s="673"/>
      <c r="F52" s="673"/>
      <c r="G52" s="673"/>
      <c r="H52" s="673"/>
      <c r="I52" s="696"/>
      <c r="J52" s="185"/>
    </row>
    <row r="53" spans="1:10">
      <c r="A53" s="185"/>
      <c r="B53" s="700"/>
      <c r="C53" s="673"/>
      <c r="D53" s="673"/>
      <c r="E53" s="673"/>
      <c r="F53" s="673"/>
      <c r="G53" s="673"/>
      <c r="H53" s="673"/>
      <c r="I53" s="696"/>
      <c r="J53" s="185"/>
    </row>
    <row r="54" spans="1:10">
      <c r="A54" s="185"/>
      <c r="B54" s="702" t="s">
        <v>423</v>
      </c>
      <c r="C54" s="719" t="str">
        <f>CONCATENATE("(A)  ",TestYear," test year General Service Revenue estimates must come from ATTACHMENT 3.")</f>
        <v>(A)  2015 test year General Service Revenue estimates must come from ATTACHMENT 3.</v>
      </c>
      <c r="D54" s="673"/>
      <c r="E54" s="673"/>
      <c r="F54" s="673"/>
      <c r="G54" s="673"/>
      <c r="H54" s="703"/>
      <c r="I54" s="696"/>
      <c r="J54" s="185"/>
    </row>
    <row r="55" spans="1:10">
      <c r="A55" s="185"/>
      <c r="B55" s="700"/>
      <c r="C55" s="719" t="str">
        <f>CONCATENATE("(B)  ",TestYear," test year Private Fire Protection Revenue estimates must come from ATTACHMENT 6.")</f>
        <v>(B)  2015 test year Private Fire Protection Revenue estimates must come from ATTACHMENT 6.</v>
      </c>
      <c r="D55" s="673"/>
      <c r="E55" s="673"/>
      <c r="F55" s="673"/>
      <c r="G55" s="673"/>
      <c r="H55" s="673"/>
      <c r="I55" s="696"/>
      <c r="J55" s="185"/>
    </row>
    <row r="56" spans="1:10">
      <c r="A56" s="185"/>
      <c r="B56" s="700"/>
      <c r="C56" s="719" t="str">
        <f>CONCATENATE("(C)  ",TestYear," test year Public Fire Protection Revenue estimates must come from ATTACHMENT 4.")</f>
        <v>(C)  2015 test year Public Fire Protection Revenue estimates must come from ATTACHMENT 4.</v>
      </c>
      <c r="D56" s="673"/>
      <c r="E56" s="673"/>
      <c r="F56" s="673"/>
      <c r="G56" s="673"/>
      <c r="H56" s="673"/>
      <c r="I56" s="696"/>
      <c r="J56" s="185"/>
    </row>
    <row r="57" spans="1:10">
      <c r="A57" s="185"/>
      <c r="B57" s="700" t="s">
        <v>67</v>
      </c>
      <c r="C57" s="673"/>
      <c r="D57" s="673"/>
      <c r="E57" s="673"/>
      <c r="F57" s="673"/>
      <c r="G57" s="673"/>
      <c r="H57" s="673"/>
      <c r="I57" s="696"/>
      <c r="J57" s="185"/>
    </row>
    <row r="58" spans="1:10" ht="13.5" thickBot="1">
      <c r="A58" s="185"/>
      <c r="B58" s="704"/>
      <c r="C58" s="705"/>
      <c r="D58" s="705"/>
      <c r="E58" s="705"/>
      <c r="F58" s="705"/>
      <c r="G58" s="705"/>
      <c r="H58" s="705"/>
      <c r="I58" s="706"/>
      <c r="J58" s="185"/>
    </row>
    <row r="59" spans="1:10" ht="13.5" thickTop="1">
      <c r="A59" s="185"/>
      <c r="B59" s="661"/>
      <c r="C59" s="185"/>
      <c r="D59" s="185"/>
      <c r="E59" s="185"/>
      <c r="F59" s="185"/>
      <c r="G59" s="185"/>
      <c r="H59" s="185"/>
      <c r="I59" s="660"/>
      <c r="J59" s="185"/>
    </row>
    <row r="60" spans="1:10">
      <c r="A60" s="185"/>
      <c r="B60" s="661"/>
      <c r="C60" s="185"/>
      <c r="D60" s="185"/>
      <c r="E60" s="185"/>
      <c r="F60" s="185"/>
      <c r="G60" s="185"/>
      <c r="H60" s="185"/>
      <c r="I60" s="660"/>
      <c r="J60" s="185"/>
    </row>
    <row r="61" spans="1:10">
      <c r="A61" s="185"/>
      <c r="B61" s="661"/>
      <c r="C61" s="185"/>
      <c r="D61" s="185"/>
      <c r="E61" s="185"/>
      <c r="F61" s="185"/>
      <c r="G61" s="185"/>
      <c r="H61" s="185"/>
      <c r="I61" s="660"/>
      <c r="J61" s="185"/>
    </row>
    <row r="62" spans="1:10">
      <c r="A62" s="185"/>
      <c r="B62" s="661"/>
      <c r="C62" s="185"/>
      <c r="D62" s="185"/>
      <c r="E62" s="185"/>
      <c r="F62" s="185"/>
      <c r="G62" s="185"/>
      <c r="H62" s="185"/>
      <c r="I62" s="660"/>
      <c r="J62" s="185"/>
    </row>
    <row r="63" spans="1:10">
      <c r="A63" s="185"/>
      <c r="B63" s="661"/>
      <c r="C63" s="185"/>
      <c r="D63" s="185"/>
      <c r="E63" s="185"/>
      <c r="F63" s="185"/>
      <c r="G63" s="185"/>
      <c r="H63" s="185"/>
      <c r="I63" s="660"/>
      <c r="J63" s="185"/>
    </row>
    <row r="64" spans="1:10">
      <c r="A64" s="185"/>
      <c r="B64" s="661"/>
      <c r="C64" s="185"/>
      <c r="D64" s="185"/>
      <c r="E64" s="185"/>
      <c r="F64" s="185"/>
      <c r="G64" s="185"/>
      <c r="H64" s="185"/>
      <c r="I64" s="660"/>
      <c r="J64" s="185"/>
    </row>
    <row r="65" spans="1:10">
      <c r="A65" s="185"/>
      <c r="B65" s="661"/>
      <c r="C65" s="185"/>
      <c r="D65" s="185"/>
      <c r="E65" s="185"/>
      <c r="F65" s="185"/>
      <c r="G65" s="185"/>
      <c r="H65" s="185"/>
      <c r="I65" s="660"/>
      <c r="J65" s="185"/>
    </row>
    <row r="66" spans="1:10">
      <c r="A66" s="185"/>
      <c r="B66" s="661"/>
      <c r="C66" s="185"/>
      <c r="D66" s="185"/>
      <c r="E66" s="185"/>
      <c r="F66" s="185"/>
      <c r="G66" s="185"/>
      <c r="H66" s="185"/>
      <c r="I66" s="660"/>
      <c r="J66" s="185"/>
    </row>
    <row r="67" spans="1:10">
      <c r="A67" s="185"/>
      <c r="B67" s="661"/>
      <c r="C67" s="185"/>
      <c r="D67" s="185"/>
      <c r="E67" s="185"/>
      <c r="F67" s="185"/>
      <c r="G67" s="185"/>
      <c r="H67" s="185"/>
      <c r="I67" s="660"/>
      <c r="J67" s="185"/>
    </row>
    <row r="68" spans="1:10">
      <c r="A68" s="185"/>
      <c r="B68" s="661"/>
      <c r="C68" s="185"/>
      <c r="D68" s="185"/>
      <c r="E68" s="185"/>
      <c r="F68" s="185"/>
      <c r="G68" s="185"/>
      <c r="H68" s="185"/>
      <c r="I68" s="660"/>
      <c r="J68" s="185"/>
    </row>
    <row r="69" spans="1:10">
      <c r="A69" s="185"/>
      <c r="B69" s="661"/>
      <c r="C69" s="185"/>
      <c r="D69" s="185"/>
      <c r="E69" s="185"/>
      <c r="F69" s="185"/>
      <c r="G69" s="185"/>
      <c r="H69" s="185"/>
      <c r="I69" s="660"/>
      <c r="J69" s="185"/>
    </row>
    <row r="70" spans="1:10">
      <c r="A70" s="185"/>
      <c r="B70" s="661"/>
      <c r="C70" s="185"/>
      <c r="D70" s="185"/>
      <c r="E70" s="185"/>
      <c r="F70" s="185"/>
      <c r="G70" s="185"/>
      <c r="H70" s="185"/>
      <c r="I70" s="660"/>
      <c r="J70" s="185"/>
    </row>
    <row r="71" spans="1:10">
      <c r="A71" s="185"/>
      <c r="B71" s="661"/>
      <c r="C71" s="185"/>
      <c r="D71" s="185"/>
      <c r="E71" s="185"/>
      <c r="F71" s="185"/>
      <c r="G71" s="185"/>
      <c r="H71" s="185"/>
      <c r="I71" s="660"/>
      <c r="J71" s="185"/>
    </row>
    <row r="72" spans="1:10">
      <c r="A72" s="185"/>
      <c r="B72" s="661"/>
      <c r="C72" s="185"/>
      <c r="D72" s="185"/>
      <c r="E72" s="185"/>
      <c r="F72" s="185"/>
      <c r="G72" s="185"/>
      <c r="H72" s="185"/>
      <c r="I72" s="660"/>
      <c r="J72" s="185"/>
    </row>
    <row r="73" spans="1:10">
      <c r="A73" s="185"/>
      <c r="B73" s="661"/>
      <c r="C73" s="185"/>
      <c r="D73" s="185"/>
      <c r="E73" s="185"/>
      <c r="F73" s="185"/>
      <c r="G73" s="185"/>
      <c r="H73" s="185"/>
      <c r="I73" s="660"/>
      <c r="J73" s="185"/>
    </row>
    <row r="74" spans="1:10">
      <c r="A74" s="185"/>
      <c r="B74" s="661"/>
      <c r="C74" s="185"/>
      <c r="D74" s="185"/>
      <c r="E74" s="185"/>
      <c r="F74" s="185"/>
      <c r="G74" s="185"/>
      <c r="H74" s="185"/>
      <c r="I74" s="660"/>
      <c r="J74" s="185"/>
    </row>
    <row r="75" spans="1:10">
      <c r="A75" s="185"/>
      <c r="B75" s="661"/>
      <c r="C75" s="185"/>
      <c r="D75" s="185"/>
      <c r="E75" s="185"/>
      <c r="F75" s="185"/>
      <c r="G75" s="185"/>
      <c r="H75" s="185"/>
      <c r="I75" s="660"/>
      <c r="J75" s="185"/>
    </row>
    <row r="76" spans="1:10">
      <c r="A76" s="185"/>
      <c r="B76" s="661"/>
      <c r="C76" s="185"/>
      <c r="D76" s="185"/>
      <c r="E76" s="185"/>
      <c r="F76" s="185"/>
      <c r="G76" s="185"/>
      <c r="H76" s="185"/>
      <c r="I76" s="660"/>
      <c r="J76" s="185"/>
    </row>
    <row r="77" spans="1:10">
      <c r="A77" s="185"/>
      <c r="B77" s="661"/>
      <c r="C77" s="185"/>
      <c r="D77" s="185"/>
      <c r="E77" s="185"/>
      <c r="F77" s="185"/>
      <c r="G77" s="185"/>
      <c r="H77" s="185"/>
      <c r="I77" s="660"/>
      <c r="J77" s="185"/>
    </row>
    <row r="78" spans="1:10">
      <c r="A78" s="185"/>
      <c r="B78" s="661"/>
      <c r="C78" s="185"/>
      <c r="D78" s="185"/>
      <c r="E78" s="185"/>
      <c r="F78" s="185"/>
      <c r="G78" s="185"/>
      <c r="H78" s="185"/>
      <c r="I78" s="660"/>
      <c r="J78" s="185"/>
    </row>
    <row r="79" spans="1:10">
      <c r="A79" s="185"/>
      <c r="B79" s="661"/>
      <c r="C79" s="185"/>
      <c r="D79" s="185"/>
      <c r="E79" s="185"/>
      <c r="F79" s="185"/>
      <c r="G79" s="185"/>
      <c r="H79" s="185"/>
      <c r="I79" s="660"/>
      <c r="J79" s="185"/>
    </row>
    <row r="80" spans="1:10">
      <c r="A80" s="185"/>
      <c r="B80" s="661"/>
      <c r="C80" s="185"/>
      <c r="D80" s="185"/>
      <c r="E80" s="185"/>
      <c r="F80" s="185"/>
      <c r="G80" s="185"/>
      <c r="H80" s="185"/>
      <c r="I80" s="660"/>
      <c r="J80" s="185"/>
    </row>
    <row r="81" spans="1:10">
      <c r="A81" s="185"/>
      <c r="B81" s="661"/>
      <c r="C81" s="185"/>
      <c r="D81" s="185"/>
      <c r="E81" s="185"/>
      <c r="F81" s="185"/>
      <c r="G81" s="185"/>
      <c r="H81" s="185"/>
      <c r="I81" s="660"/>
      <c r="J81" s="185"/>
    </row>
    <row r="82" spans="1:10">
      <c r="A82" s="185"/>
      <c r="B82" s="661"/>
      <c r="C82" s="185"/>
      <c r="D82" s="185"/>
      <c r="E82" s="185"/>
      <c r="F82" s="185"/>
      <c r="G82" s="185"/>
      <c r="H82" s="185"/>
      <c r="I82" s="660"/>
      <c r="J82" s="185"/>
    </row>
    <row r="83" spans="1:10">
      <c r="A83" s="185"/>
      <c r="B83" s="661"/>
      <c r="C83" s="185"/>
      <c r="D83" s="185"/>
      <c r="E83" s="185"/>
      <c r="F83" s="185"/>
      <c r="G83" s="185"/>
      <c r="H83" s="185"/>
      <c r="I83" s="660"/>
      <c r="J83" s="185"/>
    </row>
    <row r="84" spans="1:10">
      <c r="A84" s="185"/>
      <c r="B84" s="661"/>
      <c r="C84" s="185"/>
      <c r="D84" s="185"/>
      <c r="E84" s="185"/>
      <c r="F84" s="185"/>
      <c r="G84" s="185"/>
      <c r="H84" s="185"/>
      <c r="I84" s="660"/>
      <c r="J84" s="185"/>
    </row>
    <row r="85" spans="1:10">
      <c r="A85" s="185"/>
      <c r="B85" s="661"/>
      <c r="C85" s="185"/>
      <c r="D85" s="185"/>
      <c r="E85" s="185"/>
      <c r="F85" s="185"/>
      <c r="G85" s="185"/>
      <c r="H85" s="185"/>
      <c r="I85" s="660"/>
      <c r="J85" s="185"/>
    </row>
    <row r="86" spans="1:10">
      <c r="A86" s="185"/>
      <c r="B86" s="661"/>
      <c r="C86" s="185"/>
      <c r="D86" s="185"/>
      <c r="E86" s="185"/>
      <c r="F86" s="185"/>
      <c r="G86" s="185"/>
      <c r="H86" s="185"/>
      <c r="I86" s="660"/>
      <c r="J86" s="185"/>
    </row>
    <row r="87" spans="1:10">
      <c r="A87" s="185"/>
      <c r="B87" s="661"/>
      <c r="C87" s="185"/>
      <c r="D87" s="185"/>
      <c r="E87" s="185"/>
      <c r="F87" s="185"/>
      <c r="G87" s="185"/>
      <c r="H87" s="185"/>
      <c r="I87" s="660"/>
      <c r="J87" s="185"/>
    </row>
    <row r="88" spans="1:10">
      <c r="A88" s="185"/>
      <c r="B88" s="661"/>
      <c r="C88" s="185"/>
      <c r="D88" s="185"/>
      <c r="E88" s="185"/>
      <c r="F88" s="185"/>
      <c r="G88" s="185"/>
      <c r="H88" s="185"/>
      <c r="I88" s="660"/>
      <c r="J88" s="185"/>
    </row>
    <row r="89" spans="1:10">
      <c r="A89" s="185"/>
      <c r="B89" s="661"/>
      <c r="C89" s="185"/>
      <c r="D89" s="185"/>
      <c r="E89" s="185"/>
      <c r="F89" s="185"/>
      <c r="G89" s="185"/>
      <c r="H89" s="185"/>
      <c r="I89" s="660"/>
      <c r="J89" s="185"/>
    </row>
    <row r="90" spans="1:10">
      <c r="A90" s="185"/>
      <c r="B90" s="661"/>
      <c r="C90" s="185"/>
      <c r="D90" s="185"/>
      <c r="E90" s="185"/>
      <c r="F90" s="185"/>
      <c r="G90" s="185"/>
      <c r="H90" s="185"/>
      <c r="I90" s="660"/>
      <c r="J90" s="185"/>
    </row>
    <row r="91" spans="1:10">
      <c r="A91" s="185"/>
      <c r="B91" s="661"/>
      <c r="C91" s="185"/>
      <c r="D91" s="185"/>
      <c r="E91" s="185"/>
      <c r="F91" s="185"/>
      <c r="G91" s="185"/>
      <c r="H91" s="185"/>
      <c r="I91" s="660"/>
      <c r="J91" s="185"/>
    </row>
    <row r="92" spans="1:10">
      <c r="A92" s="185"/>
      <c r="B92" s="661"/>
      <c r="C92" s="185"/>
      <c r="D92" s="185"/>
      <c r="E92" s="185"/>
      <c r="F92" s="185"/>
      <c r="G92" s="185"/>
      <c r="H92" s="185"/>
      <c r="I92" s="660"/>
      <c r="J92" s="185"/>
    </row>
    <row r="93" spans="1:10">
      <c r="A93" s="185"/>
      <c r="B93" s="661"/>
      <c r="C93" s="185"/>
      <c r="D93" s="185"/>
      <c r="E93" s="185"/>
      <c r="F93" s="185"/>
      <c r="G93" s="185"/>
      <c r="H93" s="185"/>
      <c r="I93" s="660"/>
      <c r="J93" s="185"/>
    </row>
    <row r="94" spans="1:10">
      <c r="A94" s="185"/>
      <c r="B94" s="661"/>
      <c r="C94" s="185"/>
      <c r="D94" s="185"/>
      <c r="E94" s="185"/>
      <c r="F94" s="185"/>
      <c r="G94" s="185"/>
      <c r="H94" s="185"/>
      <c r="I94" s="660"/>
      <c r="J94" s="185"/>
    </row>
    <row r="95" spans="1:10">
      <c r="A95" s="185"/>
      <c r="B95" s="661"/>
      <c r="C95" s="185"/>
      <c r="D95" s="185"/>
      <c r="E95" s="185"/>
      <c r="F95" s="185"/>
      <c r="G95" s="185"/>
      <c r="H95" s="185"/>
      <c r="I95" s="660"/>
      <c r="J95" s="185"/>
    </row>
    <row r="96" spans="1:10">
      <c r="A96" s="185"/>
      <c r="B96" s="661"/>
      <c r="C96" s="185"/>
      <c r="D96" s="185"/>
      <c r="E96" s="185"/>
      <c r="F96" s="185"/>
      <c r="G96" s="185"/>
      <c r="H96" s="185"/>
      <c r="I96" s="660"/>
      <c r="J96" s="185"/>
    </row>
    <row r="97" spans="1:10">
      <c r="A97" s="185"/>
      <c r="B97" s="661"/>
      <c r="C97" s="185"/>
      <c r="D97" s="185"/>
      <c r="E97" s="185"/>
      <c r="F97" s="185"/>
      <c r="G97" s="185"/>
      <c r="H97" s="185"/>
      <c r="I97" s="660"/>
      <c r="J97" s="185"/>
    </row>
    <row r="98" spans="1:10">
      <c r="A98" s="185"/>
      <c r="B98" s="661"/>
      <c r="C98" s="185"/>
      <c r="D98" s="185"/>
      <c r="E98" s="185"/>
      <c r="F98" s="185"/>
      <c r="G98" s="185"/>
      <c r="H98" s="185"/>
      <c r="I98" s="660"/>
      <c r="J98" s="185"/>
    </row>
    <row r="99" spans="1:10">
      <c r="A99" s="185"/>
      <c r="B99" s="661"/>
      <c r="C99" s="185"/>
      <c r="D99" s="185"/>
      <c r="E99" s="185"/>
      <c r="F99" s="185"/>
      <c r="G99" s="185"/>
      <c r="H99" s="185"/>
      <c r="I99" s="660"/>
      <c r="J99" s="185"/>
    </row>
    <row r="100" spans="1:10">
      <c r="A100" s="185"/>
      <c r="B100" s="661"/>
      <c r="C100" s="185"/>
      <c r="D100" s="185"/>
      <c r="E100" s="185"/>
      <c r="F100" s="185"/>
      <c r="G100" s="185"/>
      <c r="H100" s="185"/>
      <c r="I100" s="660"/>
      <c r="J100" s="185"/>
    </row>
    <row r="101" spans="1:10">
      <c r="A101" s="185"/>
      <c r="B101" s="661"/>
      <c r="C101" s="185"/>
      <c r="D101" s="185"/>
      <c r="E101" s="185"/>
      <c r="F101" s="185"/>
      <c r="G101" s="185"/>
      <c r="H101" s="185"/>
      <c r="I101" s="660"/>
      <c r="J101" s="185"/>
    </row>
    <row r="102" spans="1:10">
      <c r="A102" s="185"/>
      <c r="B102" s="661"/>
      <c r="C102" s="185"/>
      <c r="D102" s="185"/>
      <c r="E102" s="185"/>
      <c r="F102" s="185"/>
      <c r="G102" s="185"/>
      <c r="H102" s="185"/>
      <c r="I102" s="660"/>
      <c r="J102" s="185"/>
    </row>
    <row r="103" spans="1:10">
      <c r="A103" s="185"/>
      <c r="B103" s="661"/>
      <c r="C103" s="185"/>
      <c r="D103" s="185"/>
      <c r="E103" s="185"/>
      <c r="F103" s="185"/>
      <c r="G103" s="185"/>
      <c r="H103" s="185"/>
      <c r="I103" s="660"/>
      <c r="J103" s="185"/>
    </row>
    <row r="104" spans="1:10">
      <c r="A104" s="185"/>
      <c r="B104" s="661"/>
      <c r="C104" s="185"/>
      <c r="D104" s="185"/>
      <c r="E104" s="185"/>
      <c r="F104" s="185"/>
      <c r="G104" s="185"/>
      <c r="H104" s="185"/>
      <c r="I104" s="660"/>
      <c r="J104" s="185"/>
    </row>
    <row r="105" spans="1:10">
      <c r="A105" s="185"/>
      <c r="B105" s="661"/>
      <c r="C105" s="185"/>
      <c r="D105" s="185"/>
      <c r="E105" s="185"/>
      <c r="F105" s="185"/>
      <c r="G105" s="185"/>
      <c r="H105" s="185"/>
      <c r="I105" s="660"/>
      <c r="J105" s="185"/>
    </row>
    <row r="106" spans="1:10">
      <c r="A106" s="185"/>
      <c r="B106" s="661"/>
      <c r="C106" s="185"/>
      <c r="D106" s="185"/>
      <c r="E106" s="185"/>
      <c r="F106" s="185"/>
      <c r="G106" s="185"/>
      <c r="H106" s="185"/>
      <c r="I106" s="660"/>
      <c r="J106" s="185"/>
    </row>
    <row r="107" spans="1:10">
      <c r="A107" s="185"/>
      <c r="B107" s="661"/>
      <c r="C107" s="185"/>
      <c r="D107" s="185"/>
      <c r="E107" s="185"/>
      <c r="F107" s="185"/>
      <c r="G107" s="185"/>
      <c r="H107" s="185"/>
      <c r="I107" s="660"/>
      <c r="J107" s="185"/>
    </row>
    <row r="108" spans="1:10">
      <c r="A108" s="185"/>
      <c r="B108" s="661"/>
      <c r="C108" s="185"/>
      <c r="D108" s="185"/>
      <c r="E108" s="185"/>
      <c r="F108" s="185"/>
      <c r="G108" s="185"/>
      <c r="H108" s="185"/>
      <c r="I108" s="660"/>
      <c r="J108" s="185"/>
    </row>
    <row r="109" spans="1:10">
      <c r="A109" s="185"/>
      <c r="B109" s="661"/>
      <c r="C109" s="185"/>
      <c r="D109" s="185"/>
      <c r="E109" s="185"/>
      <c r="F109" s="185"/>
      <c r="G109" s="185"/>
      <c r="H109" s="185"/>
      <c r="I109" s="660"/>
      <c r="J109" s="185"/>
    </row>
    <row r="110" spans="1:10">
      <c r="A110" s="185"/>
      <c r="B110" s="661"/>
      <c r="C110" s="185"/>
      <c r="D110" s="185"/>
      <c r="E110" s="185"/>
      <c r="F110" s="185"/>
      <c r="G110" s="185"/>
      <c r="H110" s="185"/>
      <c r="I110" s="660"/>
      <c r="J110" s="185"/>
    </row>
    <row r="111" spans="1:10">
      <c r="A111" s="185"/>
      <c r="B111" s="661"/>
      <c r="C111" s="185"/>
      <c r="D111" s="185"/>
      <c r="E111" s="185"/>
      <c r="F111" s="185"/>
      <c r="G111" s="185"/>
      <c r="H111" s="185"/>
      <c r="I111" s="660"/>
      <c r="J111" s="185"/>
    </row>
    <row r="112" spans="1:10">
      <c r="A112" s="185"/>
      <c r="B112" s="661"/>
      <c r="C112" s="185"/>
      <c r="D112" s="185"/>
      <c r="E112" s="185"/>
      <c r="F112" s="185"/>
      <c r="G112" s="185"/>
      <c r="H112" s="185"/>
      <c r="I112" s="660"/>
      <c r="J112" s="185"/>
    </row>
    <row r="113" spans="1:10">
      <c r="A113" s="185"/>
      <c r="B113" s="661"/>
      <c r="C113" s="185"/>
      <c r="D113" s="185"/>
      <c r="E113" s="185"/>
      <c r="F113" s="185"/>
      <c r="G113" s="185"/>
      <c r="H113" s="185"/>
      <c r="I113" s="660"/>
      <c r="J113" s="185"/>
    </row>
    <row r="114" spans="1:10">
      <c r="A114" s="185"/>
      <c r="B114" s="661"/>
      <c r="C114" s="185"/>
      <c r="D114" s="185"/>
      <c r="E114" s="185"/>
      <c r="F114" s="185"/>
      <c r="G114" s="185"/>
      <c r="H114" s="185"/>
      <c r="I114" s="660"/>
      <c r="J114" s="185"/>
    </row>
    <row r="115" spans="1:10">
      <c r="A115" s="185"/>
      <c r="B115" s="661"/>
      <c r="C115" s="185"/>
      <c r="D115" s="185"/>
      <c r="E115" s="185"/>
      <c r="F115" s="185"/>
      <c r="G115" s="185"/>
      <c r="H115" s="185"/>
      <c r="I115" s="660"/>
      <c r="J115" s="185"/>
    </row>
    <row r="116" spans="1:10">
      <c r="A116" s="185"/>
      <c r="B116" s="661"/>
      <c r="C116" s="185"/>
      <c r="D116" s="185"/>
      <c r="E116" s="185"/>
      <c r="F116" s="185"/>
      <c r="G116" s="185"/>
      <c r="H116" s="185"/>
      <c r="I116" s="660"/>
      <c r="J116" s="185"/>
    </row>
    <row r="117" spans="1:10">
      <c r="A117" s="185"/>
      <c r="B117" s="661"/>
      <c r="C117" s="185"/>
      <c r="D117" s="185"/>
      <c r="E117" s="185"/>
      <c r="F117" s="185"/>
      <c r="G117" s="185"/>
      <c r="H117" s="185"/>
      <c r="I117" s="660"/>
      <c r="J117" s="185"/>
    </row>
    <row r="118" spans="1:10">
      <c r="A118" s="185"/>
      <c r="B118" s="661"/>
      <c r="C118" s="185"/>
      <c r="D118" s="185"/>
      <c r="E118" s="185"/>
      <c r="F118" s="185"/>
      <c r="G118" s="185"/>
      <c r="H118" s="185"/>
      <c r="I118" s="660"/>
      <c r="J118" s="185"/>
    </row>
    <row r="119" spans="1:10">
      <c r="A119" s="185"/>
      <c r="B119" s="661"/>
      <c r="C119" s="185"/>
      <c r="D119" s="185"/>
      <c r="E119" s="185"/>
      <c r="F119" s="185"/>
      <c r="G119" s="185"/>
      <c r="H119" s="185"/>
      <c r="I119" s="660"/>
      <c r="J119" s="185"/>
    </row>
    <row r="120" spans="1:10">
      <c r="A120" s="185"/>
      <c r="B120" s="661"/>
      <c r="C120" s="185"/>
      <c r="D120" s="185"/>
      <c r="E120" s="185"/>
      <c r="F120" s="185"/>
      <c r="G120" s="185"/>
      <c r="H120" s="185"/>
      <c r="I120" s="660"/>
      <c r="J120" s="185"/>
    </row>
    <row r="121" spans="1:10">
      <c r="A121" s="185"/>
      <c r="B121" s="661"/>
      <c r="C121" s="185"/>
      <c r="D121" s="185"/>
      <c r="E121" s="185"/>
      <c r="F121" s="185"/>
      <c r="G121" s="185"/>
      <c r="H121" s="185"/>
      <c r="I121" s="660"/>
      <c r="J121" s="185"/>
    </row>
    <row r="122" spans="1:10">
      <c r="A122" s="185"/>
      <c r="B122" s="661"/>
      <c r="C122" s="185"/>
      <c r="D122" s="185"/>
      <c r="E122" s="185"/>
      <c r="F122" s="185"/>
      <c r="G122" s="185"/>
      <c r="H122" s="185"/>
      <c r="I122" s="660"/>
      <c r="J122" s="185"/>
    </row>
    <row r="123" spans="1:10">
      <c r="A123" s="185"/>
      <c r="B123" s="661"/>
      <c r="C123" s="185"/>
      <c r="D123" s="185"/>
      <c r="E123" s="185"/>
      <c r="F123" s="185"/>
      <c r="G123" s="185"/>
      <c r="H123" s="185"/>
      <c r="I123" s="660"/>
      <c r="J123" s="185"/>
    </row>
    <row r="124" spans="1:10">
      <c r="A124" s="185"/>
      <c r="B124" s="661"/>
      <c r="C124" s="185"/>
      <c r="D124" s="185"/>
      <c r="E124" s="185"/>
      <c r="F124" s="185"/>
      <c r="G124" s="185"/>
      <c r="H124" s="185"/>
      <c r="I124" s="660"/>
      <c r="J124" s="185"/>
    </row>
    <row r="125" spans="1:10">
      <c r="A125" s="185"/>
      <c r="B125" s="661"/>
      <c r="C125" s="185"/>
      <c r="D125" s="185"/>
      <c r="E125" s="185"/>
      <c r="F125" s="185"/>
      <c r="G125" s="185"/>
      <c r="H125" s="185"/>
      <c r="I125" s="660"/>
      <c r="J125" s="185"/>
    </row>
    <row r="126" spans="1:10">
      <c r="A126" s="185"/>
      <c r="B126" s="661"/>
      <c r="C126" s="185"/>
      <c r="D126" s="185"/>
      <c r="E126" s="185"/>
      <c r="F126" s="185"/>
      <c r="G126" s="185"/>
      <c r="H126" s="185"/>
      <c r="I126" s="660"/>
      <c r="J126" s="185"/>
    </row>
    <row r="127" spans="1:10">
      <c r="A127" s="185"/>
      <c r="B127" s="661"/>
      <c r="C127" s="185"/>
      <c r="D127" s="185"/>
      <c r="E127" s="185"/>
      <c r="F127" s="185"/>
      <c r="G127" s="185"/>
      <c r="H127" s="185"/>
      <c r="I127" s="660"/>
      <c r="J127" s="185"/>
    </row>
    <row r="128" spans="1:10">
      <c r="A128" s="185"/>
      <c r="B128" s="661"/>
      <c r="C128" s="185"/>
      <c r="D128" s="185"/>
      <c r="E128" s="185"/>
      <c r="F128" s="185"/>
      <c r="G128" s="185"/>
      <c r="H128" s="185"/>
      <c r="I128" s="660"/>
      <c r="J128" s="185"/>
    </row>
    <row r="129" spans="1:10">
      <c r="A129" s="185"/>
      <c r="B129" s="661"/>
      <c r="C129" s="185"/>
      <c r="D129" s="185"/>
      <c r="E129" s="185"/>
      <c r="F129" s="185"/>
      <c r="G129" s="185"/>
      <c r="H129" s="185"/>
      <c r="I129" s="660"/>
      <c r="J129" s="185"/>
    </row>
    <row r="130" spans="1:10">
      <c r="A130" s="185"/>
      <c r="B130" s="661"/>
      <c r="C130" s="185"/>
      <c r="D130" s="185"/>
      <c r="E130" s="185"/>
      <c r="F130" s="185"/>
      <c r="G130" s="185"/>
      <c r="H130" s="185"/>
      <c r="I130" s="660"/>
      <c r="J130" s="185"/>
    </row>
    <row r="131" spans="1:10">
      <c r="A131" s="185"/>
      <c r="B131" s="661"/>
      <c r="C131" s="185"/>
      <c r="D131" s="185"/>
      <c r="E131" s="185"/>
      <c r="F131" s="185"/>
      <c r="G131" s="185"/>
      <c r="H131" s="185"/>
      <c r="I131" s="660"/>
      <c r="J131" s="185"/>
    </row>
    <row r="132" spans="1:10">
      <c r="A132" s="185"/>
      <c r="B132" s="661"/>
      <c r="C132" s="185"/>
      <c r="D132" s="185"/>
      <c r="E132" s="185"/>
      <c r="F132" s="185"/>
      <c r="G132" s="185"/>
      <c r="H132" s="185"/>
      <c r="I132" s="660"/>
      <c r="J132" s="185"/>
    </row>
    <row r="133" spans="1:10">
      <c r="A133" s="185"/>
      <c r="B133" s="661"/>
      <c r="C133" s="185"/>
      <c r="D133" s="185"/>
      <c r="E133" s="185"/>
      <c r="F133" s="185"/>
      <c r="G133" s="185"/>
      <c r="H133" s="185"/>
      <c r="I133" s="660"/>
      <c r="J133" s="185"/>
    </row>
    <row r="134" spans="1:10">
      <c r="A134" s="185"/>
      <c r="B134" s="661"/>
      <c r="C134" s="185"/>
      <c r="D134" s="185"/>
      <c r="E134" s="185"/>
      <c r="F134" s="185"/>
      <c r="G134" s="185"/>
      <c r="H134" s="185"/>
      <c r="I134" s="660"/>
      <c r="J134" s="185"/>
    </row>
    <row r="135" spans="1:10">
      <c r="A135" s="185"/>
      <c r="B135" s="661"/>
      <c r="C135" s="185"/>
      <c r="D135" s="185"/>
      <c r="E135" s="185"/>
      <c r="F135" s="185"/>
      <c r="G135" s="185"/>
      <c r="H135" s="185"/>
      <c r="I135" s="660"/>
      <c r="J135" s="185"/>
    </row>
    <row r="136" spans="1:10">
      <c r="A136" s="185"/>
      <c r="B136" s="661"/>
      <c r="C136" s="185"/>
      <c r="D136" s="185"/>
      <c r="E136" s="185"/>
      <c r="F136" s="185"/>
      <c r="G136" s="185"/>
      <c r="H136" s="185"/>
      <c r="I136" s="660"/>
      <c r="J136" s="185"/>
    </row>
    <row r="137" spans="1:10">
      <c r="A137" s="185"/>
      <c r="B137" s="661"/>
      <c r="C137" s="185"/>
      <c r="D137" s="185"/>
      <c r="E137" s="185"/>
      <c r="F137" s="185"/>
      <c r="G137" s="185"/>
      <c r="H137" s="185"/>
      <c r="I137" s="660"/>
      <c r="J137" s="185"/>
    </row>
    <row r="138" spans="1:10">
      <c r="A138" s="185"/>
      <c r="B138" s="661"/>
      <c r="C138" s="185"/>
      <c r="D138" s="185"/>
      <c r="E138" s="185"/>
      <c r="F138" s="185"/>
      <c r="G138" s="185"/>
      <c r="H138" s="185"/>
      <c r="I138" s="660"/>
      <c r="J138" s="185"/>
    </row>
    <row r="139" spans="1:10">
      <c r="A139" s="185"/>
      <c r="B139" s="661"/>
      <c r="C139" s="185"/>
      <c r="D139" s="185"/>
      <c r="E139" s="185"/>
      <c r="F139" s="185"/>
      <c r="G139" s="185"/>
      <c r="H139" s="185"/>
      <c r="I139" s="660"/>
      <c r="J139" s="185"/>
    </row>
    <row r="140" spans="1:10">
      <c r="A140" s="185"/>
      <c r="B140" s="661"/>
      <c r="C140" s="185"/>
      <c r="D140" s="185"/>
      <c r="E140" s="185"/>
      <c r="F140" s="185"/>
      <c r="G140" s="185"/>
      <c r="H140" s="185"/>
      <c r="I140" s="660"/>
      <c r="J140" s="185"/>
    </row>
    <row r="141" spans="1:10">
      <c r="A141" s="185"/>
      <c r="B141" s="661"/>
      <c r="C141" s="185"/>
      <c r="D141" s="185"/>
      <c r="E141" s="185"/>
      <c r="F141" s="185"/>
      <c r="G141" s="185"/>
      <c r="H141" s="185"/>
      <c r="I141" s="660"/>
      <c r="J141" s="185"/>
    </row>
    <row r="142" spans="1:10">
      <c r="A142" s="185"/>
      <c r="B142" s="661"/>
      <c r="C142" s="185"/>
      <c r="D142" s="185"/>
      <c r="E142" s="185"/>
      <c r="F142" s="185"/>
      <c r="G142" s="185"/>
      <c r="H142" s="185"/>
      <c r="I142" s="660"/>
      <c r="J142" s="185"/>
    </row>
    <row r="143" spans="1:10">
      <c r="A143" s="185"/>
      <c r="B143" s="661"/>
      <c r="C143" s="185"/>
      <c r="D143" s="185"/>
      <c r="E143" s="185"/>
      <c r="F143" s="185"/>
      <c r="G143" s="185"/>
      <c r="H143" s="185"/>
      <c r="I143" s="660"/>
      <c r="J143" s="185"/>
    </row>
    <row r="144" spans="1:10">
      <c r="A144" s="185"/>
      <c r="B144" s="661"/>
      <c r="C144" s="185"/>
      <c r="D144" s="185"/>
      <c r="E144" s="185"/>
      <c r="F144" s="185"/>
      <c r="G144" s="185"/>
      <c r="H144" s="185"/>
      <c r="I144" s="660"/>
      <c r="J144" s="185"/>
    </row>
    <row r="145" spans="1:10">
      <c r="A145" s="185"/>
      <c r="B145" s="661"/>
      <c r="C145" s="185"/>
      <c r="D145" s="185"/>
      <c r="E145" s="185"/>
      <c r="F145" s="185"/>
      <c r="G145" s="185"/>
      <c r="H145" s="185"/>
      <c r="I145" s="660"/>
      <c r="J145" s="185"/>
    </row>
    <row r="146" spans="1:10">
      <c r="A146" s="185"/>
      <c r="B146" s="661"/>
      <c r="C146" s="185"/>
      <c r="D146" s="185"/>
      <c r="E146" s="185"/>
      <c r="F146" s="185"/>
      <c r="G146" s="185"/>
      <c r="H146" s="185"/>
      <c r="I146" s="660"/>
      <c r="J146" s="185"/>
    </row>
    <row r="147" spans="1:10">
      <c r="A147" s="185"/>
      <c r="B147" s="661"/>
      <c r="C147" s="185"/>
      <c r="D147" s="185"/>
      <c r="E147" s="185"/>
      <c r="F147" s="185"/>
      <c r="G147" s="185"/>
      <c r="H147" s="185"/>
      <c r="I147" s="660"/>
      <c r="J147" s="185"/>
    </row>
    <row r="148" spans="1:10">
      <c r="A148" s="185"/>
      <c r="B148" s="661"/>
      <c r="C148" s="185"/>
      <c r="D148" s="185"/>
      <c r="E148" s="185"/>
      <c r="F148" s="185"/>
      <c r="G148" s="185"/>
      <c r="H148" s="185"/>
      <c r="I148" s="660"/>
      <c r="J148" s="185"/>
    </row>
    <row r="149" spans="1:10">
      <c r="A149" s="185"/>
      <c r="B149" s="661"/>
      <c r="C149" s="185"/>
      <c r="D149" s="185"/>
      <c r="E149" s="185"/>
      <c r="F149" s="185"/>
      <c r="G149" s="185"/>
      <c r="H149" s="185"/>
      <c r="I149" s="660"/>
      <c r="J149" s="185"/>
    </row>
    <row r="150" spans="1:10">
      <c r="A150" s="185"/>
      <c r="B150" s="661"/>
      <c r="C150" s="185"/>
      <c r="D150" s="185"/>
      <c r="E150" s="185"/>
      <c r="F150" s="185"/>
      <c r="G150" s="185"/>
      <c r="H150" s="185"/>
      <c r="I150" s="660"/>
      <c r="J150" s="185"/>
    </row>
    <row r="151" spans="1:10">
      <c r="A151" s="185"/>
      <c r="B151" s="661"/>
      <c r="C151" s="185"/>
      <c r="D151" s="185"/>
      <c r="E151" s="185"/>
      <c r="F151" s="185"/>
      <c r="G151" s="185"/>
      <c r="H151" s="185"/>
      <c r="I151" s="660"/>
      <c r="J151" s="185"/>
    </row>
    <row r="152" spans="1:10">
      <c r="A152" s="185"/>
      <c r="B152" s="661"/>
      <c r="C152" s="185"/>
      <c r="D152" s="185"/>
      <c r="E152" s="185"/>
      <c r="F152" s="185"/>
      <c r="G152" s="185"/>
      <c r="H152" s="185"/>
      <c r="I152" s="660"/>
      <c r="J152" s="185"/>
    </row>
    <row r="153" spans="1:10">
      <c r="A153" s="185"/>
      <c r="B153" s="661"/>
      <c r="C153" s="185"/>
      <c r="D153" s="185"/>
      <c r="E153" s="185"/>
      <c r="F153" s="185"/>
      <c r="G153" s="185"/>
      <c r="H153" s="185"/>
      <c r="I153" s="660"/>
      <c r="J153" s="185"/>
    </row>
    <row r="154" spans="1:10">
      <c r="A154" s="185"/>
      <c r="B154" s="661"/>
      <c r="C154" s="185"/>
      <c r="D154" s="185"/>
      <c r="E154" s="185"/>
      <c r="F154" s="185"/>
      <c r="G154" s="185"/>
      <c r="H154" s="185"/>
      <c r="I154" s="660"/>
      <c r="J154" s="185"/>
    </row>
    <row r="155" spans="1:10">
      <c r="A155" s="185"/>
      <c r="B155" s="661"/>
      <c r="C155" s="185"/>
      <c r="D155" s="185"/>
      <c r="E155" s="185"/>
      <c r="F155" s="185"/>
      <c r="G155" s="185"/>
      <c r="H155" s="185"/>
      <c r="I155" s="660"/>
      <c r="J155" s="185"/>
    </row>
    <row r="156" spans="1:10">
      <c r="A156" s="185"/>
      <c r="B156" s="661"/>
      <c r="C156" s="185"/>
      <c r="D156" s="185"/>
      <c r="E156" s="185"/>
      <c r="F156" s="185"/>
      <c r="G156" s="185"/>
      <c r="H156" s="185"/>
      <c r="I156" s="660"/>
      <c r="J156" s="185"/>
    </row>
    <row r="157" spans="1:10">
      <c r="A157" s="185"/>
      <c r="B157" s="661"/>
      <c r="C157" s="185"/>
      <c r="D157" s="185"/>
      <c r="E157" s="185"/>
      <c r="F157" s="185"/>
      <c r="G157" s="185"/>
      <c r="H157" s="185"/>
      <c r="I157" s="660"/>
      <c r="J157" s="185"/>
    </row>
    <row r="158" spans="1:10">
      <c r="A158" s="185"/>
      <c r="B158" s="661"/>
      <c r="C158" s="185"/>
      <c r="D158" s="185"/>
      <c r="E158" s="185"/>
      <c r="F158" s="185"/>
      <c r="G158" s="185"/>
      <c r="H158" s="185"/>
      <c r="I158" s="660"/>
      <c r="J158" s="185"/>
    </row>
    <row r="159" spans="1:10">
      <c r="A159" s="185"/>
      <c r="B159" s="661"/>
      <c r="C159" s="185"/>
      <c r="D159" s="185"/>
      <c r="E159" s="185"/>
      <c r="F159" s="185"/>
      <c r="G159" s="185"/>
      <c r="H159" s="185"/>
      <c r="I159" s="660"/>
      <c r="J159" s="185"/>
    </row>
    <row r="160" spans="1:10">
      <c r="A160" s="185"/>
      <c r="B160" s="661"/>
      <c r="C160" s="185"/>
      <c r="D160" s="185"/>
      <c r="E160" s="185"/>
      <c r="F160" s="185"/>
      <c r="G160" s="185"/>
      <c r="H160" s="185"/>
      <c r="I160" s="660"/>
      <c r="J160" s="185"/>
    </row>
    <row r="161" spans="1:10">
      <c r="A161" s="185"/>
      <c r="B161" s="661"/>
      <c r="C161" s="185"/>
      <c r="D161" s="185"/>
      <c r="E161" s="185"/>
      <c r="F161" s="185"/>
      <c r="G161" s="185"/>
      <c r="H161" s="185"/>
      <c r="I161" s="660"/>
      <c r="J161" s="185"/>
    </row>
    <row r="162" spans="1:10">
      <c r="A162" s="185"/>
      <c r="B162" s="661"/>
      <c r="C162" s="185"/>
      <c r="D162" s="185"/>
      <c r="E162" s="185"/>
      <c r="F162" s="185"/>
      <c r="G162" s="185"/>
      <c r="H162" s="185"/>
      <c r="I162" s="660"/>
      <c r="J162" s="185"/>
    </row>
    <row r="163" spans="1:10">
      <c r="A163" s="185"/>
      <c r="B163" s="661"/>
      <c r="C163" s="185"/>
      <c r="D163" s="185"/>
      <c r="E163" s="185"/>
      <c r="F163" s="185"/>
      <c r="G163" s="185"/>
      <c r="H163" s="185"/>
      <c r="I163" s="660"/>
      <c r="J163" s="185"/>
    </row>
    <row r="164" spans="1:10">
      <c r="A164" s="185"/>
      <c r="B164" s="661"/>
      <c r="C164" s="185"/>
      <c r="D164" s="185"/>
      <c r="E164" s="185"/>
      <c r="F164" s="185"/>
      <c r="G164" s="185"/>
      <c r="H164" s="185"/>
      <c r="I164" s="660"/>
      <c r="J164" s="185"/>
    </row>
    <row r="165" spans="1:10">
      <c r="A165" s="185"/>
      <c r="B165" s="661"/>
      <c r="C165" s="185"/>
      <c r="D165" s="185"/>
      <c r="E165" s="185"/>
      <c r="F165" s="185"/>
      <c r="G165" s="185"/>
      <c r="H165" s="185"/>
      <c r="I165" s="660"/>
      <c r="J165" s="185"/>
    </row>
    <row r="166" spans="1:10">
      <c r="A166" s="185"/>
      <c r="B166" s="661"/>
      <c r="C166" s="185"/>
      <c r="D166" s="185"/>
      <c r="E166" s="185"/>
      <c r="F166" s="185"/>
      <c r="G166" s="185"/>
      <c r="H166" s="185"/>
      <c r="I166" s="660"/>
      <c r="J166" s="185"/>
    </row>
    <row r="167" spans="1:10">
      <c r="A167" s="185"/>
      <c r="B167" s="661"/>
      <c r="C167" s="185"/>
      <c r="D167" s="185"/>
      <c r="E167" s="185"/>
      <c r="F167" s="185"/>
      <c r="G167" s="185"/>
      <c r="H167" s="185"/>
      <c r="I167" s="660"/>
      <c r="J167" s="185"/>
    </row>
    <row r="168" spans="1:10">
      <c r="A168" s="185"/>
      <c r="B168" s="661"/>
      <c r="C168" s="185"/>
      <c r="D168" s="185"/>
      <c r="E168" s="185"/>
      <c r="F168" s="185"/>
      <c r="G168" s="185"/>
      <c r="H168" s="185"/>
      <c r="I168" s="660"/>
      <c r="J168" s="185"/>
    </row>
    <row r="169" spans="1:10">
      <c r="A169" s="185"/>
      <c r="B169" s="661"/>
      <c r="C169" s="185"/>
      <c r="D169" s="185"/>
      <c r="E169" s="185"/>
      <c r="F169" s="185"/>
      <c r="G169" s="185"/>
      <c r="H169" s="185"/>
      <c r="I169" s="660"/>
      <c r="J169" s="185"/>
    </row>
    <row r="170" spans="1:10">
      <c r="A170" s="185"/>
      <c r="B170" s="661"/>
      <c r="C170" s="185"/>
      <c r="D170" s="185"/>
      <c r="E170" s="185"/>
      <c r="F170" s="185"/>
      <c r="G170" s="185"/>
      <c r="H170" s="185"/>
      <c r="I170" s="660"/>
      <c r="J170" s="185"/>
    </row>
    <row r="171" spans="1:10">
      <c r="A171" s="185"/>
      <c r="B171" s="661"/>
      <c r="C171" s="185"/>
      <c r="D171" s="185"/>
      <c r="E171" s="185"/>
      <c r="F171" s="185"/>
      <c r="G171" s="185"/>
      <c r="H171" s="185"/>
      <c r="I171" s="660"/>
      <c r="J171" s="185"/>
    </row>
    <row r="172" spans="1:10">
      <c r="A172" s="185"/>
      <c r="B172" s="661"/>
      <c r="C172" s="185"/>
      <c r="D172" s="185"/>
      <c r="E172" s="185"/>
      <c r="F172" s="185"/>
      <c r="G172" s="185"/>
      <c r="H172" s="185"/>
      <c r="I172" s="660"/>
      <c r="J172" s="185"/>
    </row>
    <row r="173" spans="1:10">
      <c r="A173" s="185"/>
      <c r="B173" s="661"/>
      <c r="C173" s="185"/>
      <c r="D173" s="185"/>
      <c r="E173" s="185"/>
      <c r="F173" s="185"/>
      <c r="G173" s="185"/>
      <c r="H173" s="185"/>
      <c r="I173" s="660"/>
      <c r="J173" s="185"/>
    </row>
    <row r="174" spans="1:10">
      <c r="A174" s="185"/>
      <c r="B174" s="661"/>
      <c r="C174" s="185"/>
      <c r="D174" s="185"/>
      <c r="E174" s="185"/>
      <c r="F174" s="185"/>
      <c r="G174" s="185"/>
      <c r="H174" s="185"/>
      <c r="I174" s="660"/>
      <c r="J174" s="185"/>
    </row>
    <row r="175" spans="1:10">
      <c r="A175" s="185"/>
      <c r="B175" s="661"/>
      <c r="C175" s="185"/>
      <c r="D175" s="185"/>
      <c r="E175" s="185"/>
      <c r="F175" s="185"/>
      <c r="G175" s="185"/>
      <c r="H175" s="185"/>
      <c r="I175" s="660"/>
      <c r="J175" s="185"/>
    </row>
    <row r="176" spans="1:10">
      <c r="A176" s="185"/>
      <c r="B176" s="661"/>
      <c r="C176" s="185"/>
      <c r="D176" s="185"/>
      <c r="E176" s="185"/>
      <c r="F176" s="185"/>
      <c r="G176" s="185"/>
      <c r="H176" s="185"/>
      <c r="I176" s="660"/>
      <c r="J176" s="185"/>
    </row>
    <row r="177" spans="1:10">
      <c r="A177" s="185"/>
      <c r="B177" s="661"/>
      <c r="C177" s="185"/>
      <c r="D177" s="185"/>
      <c r="E177" s="185"/>
      <c r="F177" s="185"/>
      <c r="G177" s="185"/>
      <c r="H177" s="185"/>
      <c r="I177" s="660"/>
      <c r="J177" s="185"/>
    </row>
    <row r="178" spans="1:10">
      <c r="A178" s="185"/>
      <c r="B178" s="661"/>
      <c r="C178" s="185"/>
      <c r="D178" s="185"/>
      <c r="E178" s="185"/>
      <c r="F178" s="185"/>
      <c r="G178" s="185"/>
      <c r="H178" s="185"/>
      <c r="I178" s="660"/>
      <c r="J178" s="185"/>
    </row>
    <row r="179" spans="1:10">
      <c r="A179" s="185"/>
      <c r="B179" s="661"/>
      <c r="C179" s="185"/>
      <c r="D179" s="185"/>
      <c r="E179" s="185"/>
      <c r="F179" s="185"/>
      <c r="G179" s="185"/>
      <c r="H179" s="185"/>
      <c r="I179" s="660"/>
      <c r="J179" s="185"/>
    </row>
    <row r="180" spans="1:10">
      <c r="A180" s="185"/>
      <c r="B180" s="661"/>
      <c r="C180" s="185"/>
      <c r="D180" s="185"/>
      <c r="E180" s="185"/>
      <c r="F180" s="185"/>
      <c r="G180" s="185"/>
      <c r="H180" s="185"/>
      <c r="I180" s="660"/>
      <c r="J180" s="185"/>
    </row>
    <row r="181" spans="1:10">
      <c r="A181" s="185"/>
      <c r="B181" s="661"/>
      <c r="C181" s="185"/>
      <c r="D181" s="185"/>
      <c r="E181" s="185"/>
      <c r="F181" s="185"/>
      <c r="G181" s="185"/>
      <c r="H181" s="185"/>
      <c r="I181" s="660"/>
      <c r="J181" s="185"/>
    </row>
    <row r="182" spans="1:10">
      <c r="A182" s="185"/>
      <c r="B182" s="661"/>
      <c r="C182" s="185"/>
      <c r="D182" s="185"/>
      <c r="E182" s="185"/>
      <c r="F182" s="185"/>
      <c r="G182" s="185"/>
      <c r="H182" s="185"/>
      <c r="I182" s="660"/>
      <c r="J182" s="185"/>
    </row>
    <row r="183" spans="1:10">
      <c r="A183" s="185"/>
      <c r="B183" s="661"/>
      <c r="C183" s="185"/>
      <c r="D183" s="185"/>
      <c r="E183" s="185"/>
      <c r="F183" s="185"/>
      <c r="G183" s="185"/>
      <c r="H183" s="185"/>
      <c r="I183" s="660"/>
      <c r="J183" s="185"/>
    </row>
    <row r="184" spans="1:10">
      <c r="A184" s="185"/>
      <c r="B184" s="661"/>
      <c r="C184" s="185"/>
      <c r="D184" s="185"/>
      <c r="E184" s="185"/>
      <c r="F184" s="185"/>
      <c r="G184" s="185"/>
      <c r="H184" s="185"/>
      <c r="I184" s="660"/>
      <c r="J184" s="185"/>
    </row>
    <row r="185" spans="1:10">
      <c r="A185" s="185"/>
      <c r="B185" s="661"/>
      <c r="C185" s="185"/>
      <c r="D185" s="185"/>
      <c r="E185" s="185"/>
      <c r="F185" s="185"/>
      <c r="G185" s="185"/>
      <c r="H185" s="185"/>
      <c r="I185" s="660"/>
      <c r="J185" s="185"/>
    </row>
    <row r="186" spans="1:10">
      <c r="A186" s="185"/>
      <c r="B186" s="661"/>
      <c r="C186" s="185"/>
      <c r="D186" s="185"/>
      <c r="E186" s="185"/>
      <c r="F186" s="185"/>
      <c r="G186" s="185"/>
      <c r="H186" s="185"/>
      <c r="I186" s="660"/>
      <c r="J186" s="185"/>
    </row>
    <row r="187" spans="1:10">
      <c r="A187" s="185"/>
      <c r="B187" s="661"/>
      <c r="C187" s="185"/>
      <c r="D187" s="185"/>
      <c r="E187" s="185"/>
      <c r="F187" s="185"/>
      <c r="G187" s="185"/>
      <c r="H187" s="185"/>
      <c r="I187" s="660"/>
      <c r="J187" s="185"/>
    </row>
    <row r="188" spans="1:10">
      <c r="A188" s="185"/>
      <c r="B188" s="661"/>
      <c r="C188" s="185"/>
      <c r="D188" s="185"/>
      <c r="E188" s="185"/>
      <c r="F188" s="185"/>
      <c r="G188" s="185"/>
      <c r="H188" s="185"/>
      <c r="I188" s="660"/>
      <c r="J188" s="185"/>
    </row>
    <row r="189" spans="1:10">
      <c r="A189" s="185"/>
      <c r="B189" s="661"/>
      <c r="C189" s="185"/>
      <c r="D189" s="185"/>
      <c r="E189" s="185"/>
      <c r="F189" s="185"/>
      <c r="G189" s="185"/>
      <c r="H189" s="185"/>
      <c r="I189" s="660"/>
      <c r="J189" s="185"/>
    </row>
    <row r="190" spans="1:10">
      <c r="A190" s="185"/>
      <c r="B190" s="661"/>
      <c r="C190" s="185"/>
      <c r="D190" s="185"/>
      <c r="E190" s="185"/>
      <c r="F190" s="185"/>
      <c r="G190" s="185"/>
      <c r="H190" s="185"/>
      <c r="I190" s="660"/>
      <c r="J190" s="185"/>
    </row>
    <row r="191" spans="1:10">
      <c r="A191" s="185"/>
      <c r="B191" s="661"/>
      <c r="C191" s="185"/>
      <c r="D191" s="185"/>
      <c r="E191" s="185"/>
      <c r="F191" s="185"/>
      <c r="G191" s="185"/>
      <c r="H191" s="185"/>
      <c r="I191" s="660"/>
      <c r="J191" s="185"/>
    </row>
    <row r="192" spans="1:10">
      <c r="A192" s="185"/>
      <c r="B192" s="661"/>
      <c r="C192" s="185"/>
      <c r="D192" s="185"/>
      <c r="E192" s="185"/>
      <c r="F192" s="185"/>
      <c r="G192" s="185"/>
      <c r="H192" s="185"/>
      <c r="I192" s="660"/>
      <c r="J192" s="185"/>
    </row>
    <row r="193" spans="1:10">
      <c r="A193" s="185"/>
      <c r="B193" s="661"/>
      <c r="C193" s="185"/>
      <c r="D193" s="185"/>
      <c r="E193" s="185"/>
      <c r="F193" s="185"/>
      <c r="G193" s="185"/>
      <c r="H193" s="185"/>
      <c r="I193" s="660"/>
      <c r="J193" s="185"/>
    </row>
    <row r="194" spans="1:10">
      <c r="A194" s="185"/>
      <c r="B194" s="661"/>
      <c r="C194" s="185"/>
      <c r="D194" s="185"/>
      <c r="E194" s="185"/>
      <c r="F194" s="185"/>
      <c r="G194" s="185"/>
      <c r="H194" s="185"/>
      <c r="I194" s="660"/>
      <c r="J194" s="185"/>
    </row>
    <row r="195" spans="1:10">
      <c r="A195" s="185"/>
      <c r="B195" s="661"/>
      <c r="C195" s="185"/>
      <c r="D195" s="185"/>
      <c r="E195" s="185"/>
      <c r="F195" s="185"/>
      <c r="G195" s="185"/>
      <c r="H195" s="185"/>
      <c r="I195" s="660"/>
      <c r="J195" s="185"/>
    </row>
    <row r="196" spans="1:10">
      <c r="A196" s="185"/>
      <c r="B196" s="661"/>
      <c r="C196" s="185"/>
      <c r="D196" s="185"/>
      <c r="E196" s="185"/>
      <c r="F196" s="185"/>
      <c r="G196" s="185"/>
      <c r="H196" s="185"/>
      <c r="I196" s="660"/>
      <c r="J196" s="185"/>
    </row>
    <row r="197" spans="1:10">
      <c r="A197" s="185"/>
      <c r="B197" s="661"/>
      <c r="C197" s="185"/>
      <c r="D197" s="185"/>
      <c r="E197" s="185"/>
      <c r="F197" s="185"/>
      <c r="G197" s="185"/>
      <c r="H197" s="185"/>
      <c r="I197" s="660"/>
      <c r="J197" s="185"/>
    </row>
    <row r="198" spans="1:10">
      <c r="A198" s="185"/>
      <c r="B198" s="661"/>
      <c r="C198" s="185"/>
      <c r="D198" s="185"/>
      <c r="E198" s="185"/>
      <c r="F198" s="185"/>
      <c r="G198" s="185"/>
      <c r="H198" s="185"/>
      <c r="I198" s="660"/>
      <c r="J198" s="185"/>
    </row>
    <row r="199" spans="1:10">
      <c r="A199" s="185"/>
      <c r="B199" s="661"/>
      <c r="C199" s="185"/>
      <c r="D199" s="185"/>
      <c r="E199" s="185"/>
      <c r="F199" s="185"/>
      <c r="G199" s="185"/>
      <c r="H199" s="185"/>
      <c r="I199" s="660"/>
      <c r="J199" s="185"/>
    </row>
    <row r="200" spans="1:10">
      <c r="A200" s="185"/>
      <c r="B200" s="661"/>
      <c r="C200" s="185"/>
      <c r="D200" s="185"/>
      <c r="E200" s="185"/>
      <c r="F200" s="185"/>
      <c r="G200" s="185"/>
      <c r="H200" s="185"/>
      <c r="I200" s="660"/>
      <c r="J200" s="185"/>
    </row>
    <row r="201" spans="1:10">
      <c r="A201" s="185"/>
      <c r="B201" s="661"/>
      <c r="C201" s="185"/>
      <c r="D201" s="185"/>
      <c r="E201" s="185"/>
      <c r="F201" s="185"/>
      <c r="G201" s="185"/>
      <c r="H201" s="185"/>
      <c r="I201" s="660"/>
      <c r="J201" s="185"/>
    </row>
    <row r="202" spans="1:10">
      <c r="A202" s="185"/>
      <c r="B202" s="661"/>
      <c r="C202" s="185"/>
      <c r="D202" s="185"/>
      <c r="E202" s="185"/>
      <c r="F202" s="185"/>
      <c r="G202" s="185"/>
      <c r="H202" s="185"/>
      <c r="I202" s="660"/>
      <c r="J202" s="185"/>
    </row>
    <row r="203" spans="1:10">
      <c r="A203" s="185"/>
      <c r="B203" s="661"/>
      <c r="C203" s="185"/>
      <c r="D203" s="185"/>
      <c r="E203" s="185"/>
      <c r="F203" s="185"/>
      <c r="G203" s="185"/>
      <c r="H203" s="185"/>
      <c r="I203" s="660"/>
      <c r="J203" s="185"/>
    </row>
    <row r="204" spans="1:10">
      <c r="A204" s="185"/>
      <c r="B204" s="661"/>
      <c r="C204" s="185"/>
      <c r="D204" s="185"/>
      <c r="E204" s="185"/>
      <c r="F204" s="185"/>
      <c r="G204" s="185"/>
      <c r="H204" s="185"/>
      <c r="I204" s="660"/>
      <c r="J204" s="185"/>
    </row>
    <row r="205" spans="1:10">
      <c r="A205" s="185"/>
      <c r="B205" s="661"/>
      <c r="C205" s="185"/>
      <c r="D205" s="185"/>
      <c r="E205" s="185"/>
      <c r="F205" s="185"/>
      <c r="G205" s="185"/>
      <c r="H205" s="185"/>
      <c r="I205" s="660"/>
      <c r="J205" s="185"/>
    </row>
    <row r="206" spans="1:10">
      <c r="A206" s="185"/>
      <c r="B206" s="661"/>
      <c r="C206" s="185"/>
      <c r="D206" s="185"/>
      <c r="E206" s="185"/>
      <c r="F206" s="185"/>
      <c r="G206" s="185"/>
      <c r="H206" s="185"/>
      <c r="I206" s="660"/>
      <c r="J206" s="185"/>
    </row>
    <row r="207" spans="1:10">
      <c r="A207" s="185"/>
      <c r="B207" s="661"/>
      <c r="C207" s="185"/>
      <c r="D207" s="185"/>
      <c r="E207" s="185"/>
      <c r="F207" s="185"/>
      <c r="G207" s="185"/>
      <c r="H207" s="185"/>
      <c r="I207" s="660"/>
      <c r="J207" s="185"/>
    </row>
    <row r="208" spans="1:10">
      <c r="A208" s="185"/>
      <c r="B208" s="661"/>
      <c r="C208" s="185"/>
      <c r="D208" s="185"/>
      <c r="E208" s="185"/>
      <c r="F208" s="185"/>
      <c r="G208" s="185"/>
      <c r="H208" s="185"/>
      <c r="I208" s="660"/>
      <c r="J208" s="185"/>
    </row>
    <row r="209" spans="1:10">
      <c r="A209" s="185"/>
      <c r="B209" s="661"/>
      <c r="C209" s="185"/>
      <c r="D209" s="185"/>
      <c r="E209" s="185"/>
      <c r="F209" s="185"/>
      <c r="G209" s="185"/>
      <c r="H209" s="185"/>
      <c r="I209" s="660"/>
      <c r="J209" s="185"/>
    </row>
    <row r="210" spans="1:10">
      <c r="A210" s="185"/>
      <c r="B210" s="661"/>
      <c r="C210" s="185"/>
      <c r="D210" s="185"/>
      <c r="E210" s="185"/>
      <c r="F210" s="185"/>
      <c r="G210" s="185"/>
      <c r="H210" s="185"/>
      <c r="I210" s="660"/>
      <c r="J210" s="185"/>
    </row>
    <row r="211" spans="1:10">
      <c r="A211" s="185"/>
      <c r="B211" s="661"/>
      <c r="C211" s="185"/>
      <c r="D211" s="185"/>
      <c r="E211" s="185"/>
      <c r="F211" s="185"/>
      <c r="G211" s="185"/>
      <c r="H211" s="185"/>
      <c r="I211" s="660"/>
      <c r="J211" s="185"/>
    </row>
    <row r="212" spans="1:10">
      <c r="A212" s="185"/>
      <c r="B212" s="661"/>
      <c r="C212" s="185"/>
      <c r="D212" s="185"/>
      <c r="E212" s="185"/>
      <c r="F212" s="185"/>
      <c r="G212" s="185"/>
      <c r="H212" s="185"/>
      <c r="I212" s="660"/>
      <c r="J212" s="185"/>
    </row>
    <row r="213" spans="1:10">
      <c r="A213" s="185"/>
      <c r="B213" s="661"/>
      <c r="C213" s="185"/>
      <c r="D213" s="185"/>
      <c r="E213" s="185"/>
      <c r="F213" s="185"/>
      <c r="G213" s="185"/>
      <c r="H213" s="185"/>
      <c r="I213" s="660"/>
      <c r="J213" s="185"/>
    </row>
    <row r="214" spans="1:10">
      <c r="A214" s="185"/>
      <c r="B214" s="661"/>
      <c r="C214" s="185"/>
      <c r="D214" s="185"/>
      <c r="E214" s="185"/>
      <c r="F214" s="185"/>
      <c r="G214" s="185"/>
      <c r="H214" s="185"/>
      <c r="I214" s="660"/>
      <c r="J214" s="185"/>
    </row>
    <row r="215" spans="1:10">
      <c r="A215" s="185"/>
      <c r="B215" s="661"/>
      <c r="C215" s="185"/>
      <c r="D215" s="185"/>
      <c r="E215" s="185"/>
      <c r="F215" s="185"/>
      <c r="G215" s="185"/>
      <c r="H215" s="185"/>
      <c r="I215" s="660"/>
      <c r="J215" s="185"/>
    </row>
    <row r="216" spans="1:10">
      <c r="A216" s="185"/>
      <c r="B216" s="661"/>
      <c r="C216" s="185"/>
      <c r="D216" s="185"/>
      <c r="E216" s="185"/>
      <c r="F216" s="185"/>
      <c r="G216" s="185"/>
      <c r="H216" s="185"/>
      <c r="I216" s="660"/>
      <c r="J216" s="185"/>
    </row>
    <row r="217" spans="1:10">
      <c r="A217" s="185"/>
      <c r="B217" s="661"/>
      <c r="C217" s="185"/>
      <c r="D217" s="185"/>
      <c r="E217" s="185"/>
      <c r="F217" s="185"/>
      <c r="G217" s="185"/>
      <c r="H217" s="185"/>
      <c r="I217" s="660"/>
      <c r="J217" s="185"/>
    </row>
    <row r="218" spans="1:10">
      <c r="A218" s="185"/>
      <c r="B218" s="661"/>
      <c r="C218" s="185"/>
      <c r="D218" s="185"/>
      <c r="E218" s="185"/>
      <c r="F218" s="185"/>
      <c r="G218" s="185"/>
      <c r="H218" s="185"/>
      <c r="I218" s="660"/>
      <c r="J218" s="185"/>
    </row>
    <row r="219" spans="1:10">
      <c r="A219" s="185"/>
      <c r="B219" s="661"/>
      <c r="C219" s="185"/>
      <c r="D219" s="185"/>
      <c r="E219" s="185"/>
      <c r="F219" s="185"/>
      <c r="G219" s="185"/>
      <c r="H219" s="185"/>
      <c r="I219" s="660"/>
      <c r="J219" s="185"/>
    </row>
    <row r="220" spans="1:10">
      <c r="A220" s="185"/>
      <c r="B220" s="661"/>
      <c r="C220" s="185"/>
      <c r="D220" s="185"/>
      <c r="E220" s="185"/>
      <c r="F220" s="185"/>
      <c r="G220" s="185"/>
      <c r="H220" s="185"/>
      <c r="I220" s="660"/>
      <c r="J220" s="185"/>
    </row>
    <row r="221" spans="1:10">
      <c r="A221" s="185"/>
      <c r="B221" s="661"/>
      <c r="C221" s="185"/>
      <c r="D221" s="185"/>
      <c r="E221" s="185"/>
      <c r="F221" s="185"/>
      <c r="G221" s="185"/>
      <c r="H221" s="185"/>
      <c r="I221" s="660"/>
      <c r="J221" s="185"/>
    </row>
    <row r="222" spans="1:10">
      <c r="A222" s="185"/>
      <c r="B222" s="661"/>
      <c r="C222" s="185"/>
      <c r="D222" s="185"/>
      <c r="E222" s="185"/>
      <c r="F222" s="185"/>
      <c r="G222" s="185"/>
      <c r="H222" s="185"/>
      <c r="I222" s="660"/>
      <c r="J222" s="185"/>
    </row>
    <row r="223" spans="1:10">
      <c r="A223" s="185"/>
      <c r="B223" s="661"/>
      <c r="C223" s="185"/>
      <c r="D223" s="185"/>
      <c r="E223" s="185"/>
      <c r="F223" s="185"/>
      <c r="G223" s="185"/>
      <c r="H223" s="185"/>
      <c r="I223" s="660"/>
      <c r="J223" s="185"/>
    </row>
    <row r="224" spans="1:10">
      <c r="A224" s="185"/>
      <c r="B224" s="661"/>
      <c r="C224" s="185"/>
      <c r="D224" s="185"/>
      <c r="E224" s="185"/>
      <c r="F224" s="185"/>
      <c r="G224" s="185"/>
      <c r="H224" s="185"/>
      <c r="I224" s="660"/>
      <c r="J224" s="185"/>
    </row>
    <row r="225" spans="1:10">
      <c r="A225" s="185"/>
      <c r="B225" s="661"/>
      <c r="C225" s="185"/>
      <c r="D225" s="185"/>
      <c r="E225" s="185"/>
      <c r="F225" s="185"/>
      <c r="G225" s="185"/>
      <c r="H225" s="185"/>
      <c r="I225" s="660"/>
      <c r="J225" s="185"/>
    </row>
    <row r="226" spans="1:10">
      <c r="A226" s="185"/>
      <c r="B226" s="661"/>
      <c r="C226" s="185"/>
      <c r="D226" s="185"/>
      <c r="E226" s="185"/>
      <c r="F226" s="185"/>
      <c r="G226" s="185"/>
      <c r="H226" s="185"/>
      <c r="I226" s="660"/>
      <c r="J226" s="185"/>
    </row>
    <row r="227" spans="1:10">
      <c r="A227" s="185"/>
      <c r="B227" s="661"/>
      <c r="C227" s="185"/>
      <c r="D227" s="185"/>
      <c r="E227" s="185"/>
      <c r="F227" s="185"/>
      <c r="G227" s="185"/>
      <c r="H227" s="185"/>
      <c r="I227" s="660"/>
      <c r="J227" s="185"/>
    </row>
    <row r="228" spans="1:10">
      <c r="A228" s="185"/>
      <c r="B228" s="661"/>
      <c r="C228" s="185"/>
      <c r="D228" s="185"/>
      <c r="E228" s="185"/>
      <c r="F228" s="185"/>
      <c r="G228" s="185"/>
      <c r="H228" s="185"/>
      <c r="I228" s="660"/>
      <c r="J228" s="185"/>
    </row>
    <row r="229" spans="1:10">
      <c r="A229" s="185"/>
      <c r="B229" s="661"/>
      <c r="C229" s="185"/>
      <c r="D229" s="185"/>
      <c r="E229" s="185"/>
      <c r="F229" s="185"/>
      <c r="G229" s="185"/>
      <c r="H229" s="185"/>
      <c r="I229" s="660"/>
      <c r="J229" s="185"/>
    </row>
    <row r="230" spans="1:10">
      <c r="A230" s="185"/>
      <c r="B230" s="661"/>
      <c r="C230" s="185"/>
      <c r="D230" s="185"/>
      <c r="E230" s="185"/>
      <c r="F230" s="185"/>
      <c r="G230" s="185"/>
      <c r="H230" s="185"/>
      <c r="I230" s="660"/>
      <c r="J230" s="185"/>
    </row>
    <row r="231" spans="1:10">
      <c r="A231" s="185"/>
      <c r="B231" s="661"/>
      <c r="C231" s="185"/>
      <c r="D231" s="185"/>
      <c r="E231" s="185"/>
      <c r="F231" s="185"/>
      <c r="G231" s="185"/>
      <c r="H231" s="185"/>
      <c r="I231" s="660"/>
      <c r="J231" s="185"/>
    </row>
    <row r="232" spans="1:10">
      <c r="A232" s="185"/>
      <c r="B232" s="661"/>
      <c r="C232" s="185"/>
      <c r="D232" s="185"/>
      <c r="E232" s="185"/>
      <c r="F232" s="185"/>
      <c r="G232" s="185"/>
      <c r="H232" s="185"/>
      <c r="I232" s="660"/>
      <c r="J232" s="185"/>
    </row>
    <row r="233" spans="1:10">
      <c r="A233" s="185"/>
      <c r="B233" s="661"/>
      <c r="C233" s="185"/>
      <c r="D233" s="185"/>
      <c r="E233" s="185"/>
      <c r="F233" s="185"/>
      <c r="G233" s="185"/>
      <c r="H233" s="185"/>
      <c r="I233" s="660"/>
      <c r="J233" s="185"/>
    </row>
    <row r="234" spans="1:10">
      <c r="A234" s="185"/>
      <c r="B234" s="661"/>
      <c r="C234" s="185"/>
      <c r="D234" s="185"/>
      <c r="E234" s="185"/>
      <c r="F234" s="185"/>
      <c r="G234" s="185"/>
      <c r="H234" s="185"/>
      <c r="I234" s="660"/>
      <c r="J234" s="185"/>
    </row>
    <row r="235" spans="1:10">
      <c r="A235" s="185"/>
      <c r="B235" s="661"/>
      <c r="C235" s="185"/>
      <c r="D235" s="185"/>
      <c r="E235" s="185"/>
      <c r="F235" s="185"/>
      <c r="G235" s="185"/>
      <c r="H235" s="185"/>
      <c r="I235" s="660"/>
      <c r="J235" s="185"/>
    </row>
    <row r="236" spans="1:10">
      <c r="A236" s="185"/>
      <c r="B236" s="661"/>
      <c r="C236" s="185"/>
      <c r="D236" s="185"/>
      <c r="E236" s="185"/>
      <c r="F236" s="185"/>
      <c r="G236" s="185"/>
      <c r="H236" s="185"/>
      <c r="I236" s="660"/>
      <c r="J236" s="185"/>
    </row>
    <row r="237" spans="1:10">
      <c r="A237" s="185"/>
      <c r="B237" s="661"/>
      <c r="C237" s="185"/>
      <c r="D237" s="185"/>
      <c r="E237" s="185"/>
      <c r="F237" s="185"/>
      <c r="G237" s="185"/>
      <c r="H237" s="185"/>
      <c r="I237" s="660"/>
      <c r="J237" s="185"/>
    </row>
    <row r="238" spans="1:10">
      <c r="A238" s="185"/>
      <c r="B238" s="661"/>
      <c r="C238" s="185"/>
      <c r="D238" s="185"/>
      <c r="E238" s="185"/>
      <c r="F238" s="185"/>
      <c r="G238" s="185"/>
      <c r="H238" s="185"/>
      <c r="I238" s="660"/>
      <c r="J238" s="185"/>
    </row>
    <row r="239" spans="1:10">
      <c r="A239" s="185"/>
      <c r="B239" s="661"/>
      <c r="C239" s="185"/>
      <c r="D239" s="185"/>
      <c r="E239" s="185"/>
      <c r="F239" s="185"/>
      <c r="G239" s="185"/>
      <c r="H239" s="185"/>
      <c r="I239" s="660"/>
      <c r="J239" s="185"/>
    </row>
    <row r="240" spans="1:10">
      <c r="A240" s="185"/>
      <c r="B240" s="661"/>
      <c r="C240" s="185"/>
      <c r="D240" s="185"/>
      <c r="E240" s="185"/>
      <c r="F240" s="185"/>
      <c r="G240" s="185"/>
      <c r="H240" s="185"/>
      <c r="I240" s="660"/>
      <c r="J240" s="185"/>
    </row>
    <row r="241" spans="1:10">
      <c r="A241" s="185"/>
      <c r="B241" s="661"/>
      <c r="C241" s="185"/>
      <c r="D241" s="185"/>
      <c r="E241" s="185"/>
      <c r="F241" s="185"/>
      <c r="G241" s="185"/>
      <c r="H241" s="185"/>
      <c r="I241" s="660"/>
      <c r="J241" s="185"/>
    </row>
    <row r="242" spans="1:10">
      <c r="A242" s="185"/>
      <c r="B242" s="661"/>
      <c r="C242" s="185"/>
      <c r="D242" s="185"/>
      <c r="E242" s="185"/>
      <c r="F242" s="185"/>
      <c r="G242" s="185"/>
      <c r="H242" s="185"/>
      <c r="I242" s="660"/>
      <c r="J242" s="185"/>
    </row>
    <row r="243" spans="1:10">
      <c r="A243" s="185"/>
      <c r="B243" s="661"/>
      <c r="C243" s="185"/>
      <c r="D243" s="185"/>
      <c r="E243" s="185"/>
      <c r="F243" s="185"/>
      <c r="G243" s="185"/>
      <c r="H243" s="185"/>
      <c r="I243" s="660"/>
      <c r="J243" s="185"/>
    </row>
    <row r="244" spans="1:10">
      <c r="A244" s="185"/>
      <c r="B244" s="661"/>
      <c r="C244" s="185"/>
      <c r="D244" s="185"/>
      <c r="E244" s="185"/>
      <c r="F244" s="185"/>
      <c r="G244" s="185"/>
      <c r="H244" s="185"/>
      <c r="I244" s="660"/>
      <c r="J244" s="185"/>
    </row>
    <row r="245" spans="1:10">
      <c r="A245" s="185"/>
      <c r="B245" s="661"/>
      <c r="C245" s="185"/>
      <c r="D245" s="185"/>
      <c r="E245" s="185"/>
      <c r="F245" s="185"/>
      <c r="G245" s="185"/>
      <c r="H245" s="185"/>
      <c r="I245" s="660"/>
      <c r="J245" s="185"/>
    </row>
    <row r="246" spans="1:10">
      <c r="A246" s="185"/>
      <c r="B246" s="661"/>
      <c r="C246" s="185"/>
      <c r="D246" s="185"/>
      <c r="E246" s="185"/>
      <c r="F246" s="185"/>
      <c r="G246" s="185"/>
      <c r="H246" s="185"/>
      <c r="I246" s="660"/>
      <c r="J246" s="185"/>
    </row>
    <row r="247" spans="1:10">
      <c r="A247" s="185"/>
      <c r="B247" s="661"/>
      <c r="C247" s="185"/>
      <c r="D247" s="185"/>
      <c r="E247" s="185"/>
      <c r="F247" s="185"/>
      <c r="G247" s="185"/>
      <c r="H247" s="185"/>
      <c r="I247" s="660"/>
      <c r="J247" s="185"/>
    </row>
    <row r="248" spans="1:10">
      <c r="A248" s="185"/>
      <c r="B248" s="661"/>
      <c r="C248" s="185"/>
      <c r="D248" s="185"/>
      <c r="E248" s="185"/>
      <c r="F248" s="185"/>
      <c r="G248" s="185"/>
      <c r="H248" s="185"/>
      <c r="I248" s="660"/>
      <c r="J248" s="185"/>
    </row>
    <row r="249" spans="1:10">
      <c r="A249" s="185"/>
      <c r="B249" s="661"/>
      <c r="C249" s="185"/>
      <c r="D249" s="185"/>
      <c r="E249" s="185"/>
      <c r="F249" s="185"/>
      <c r="G249" s="185"/>
      <c r="H249" s="185"/>
      <c r="I249" s="660"/>
      <c r="J249" s="185"/>
    </row>
    <row r="250" spans="1:10">
      <c r="A250" s="185"/>
      <c r="B250" s="661"/>
      <c r="C250" s="185"/>
      <c r="D250" s="185"/>
      <c r="E250" s="185"/>
      <c r="F250" s="185"/>
      <c r="G250" s="185"/>
      <c r="H250" s="185"/>
      <c r="I250" s="660"/>
      <c r="J250" s="185"/>
    </row>
    <row r="251" spans="1:10">
      <c r="A251" s="185"/>
      <c r="B251" s="661"/>
      <c r="C251" s="185"/>
      <c r="D251" s="185"/>
      <c r="E251" s="185"/>
      <c r="F251" s="185"/>
      <c r="G251" s="185"/>
      <c r="H251" s="185"/>
      <c r="I251" s="660"/>
      <c r="J251" s="185"/>
    </row>
    <row r="252" spans="1:10">
      <c r="A252" s="185"/>
      <c r="B252" s="661"/>
      <c r="C252" s="185"/>
      <c r="D252" s="185"/>
      <c r="E252" s="185"/>
      <c r="F252" s="185"/>
      <c r="G252" s="185"/>
      <c r="H252" s="185"/>
      <c r="I252" s="660"/>
      <c r="J252" s="185"/>
    </row>
    <row r="253" spans="1:10">
      <c r="A253" s="185"/>
      <c r="B253" s="661"/>
      <c r="C253" s="185"/>
      <c r="D253" s="185"/>
      <c r="E253" s="185"/>
      <c r="F253" s="185"/>
      <c r="G253" s="185"/>
      <c r="H253" s="185"/>
      <c r="I253" s="660"/>
      <c r="J253" s="185"/>
    </row>
    <row r="254" spans="1:10">
      <c r="A254" s="185"/>
      <c r="B254" s="661"/>
      <c r="C254" s="185"/>
      <c r="D254" s="185"/>
      <c r="E254" s="185"/>
      <c r="F254" s="185"/>
      <c r="G254" s="185"/>
      <c r="H254" s="185"/>
      <c r="I254" s="660"/>
      <c r="J254" s="185"/>
    </row>
    <row r="255" spans="1:10">
      <c r="A255" s="185"/>
      <c r="B255" s="661"/>
      <c r="C255" s="185"/>
      <c r="D255" s="185"/>
      <c r="E255" s="185"/>
      <c r="F255" s="185"/>
      <c r="G255" s="185"/>
      <c r="H255" s="185"/>
      <c r="I255" s="660"/>
      <c r="J255" s="185"/>
    </row>
    <row r="256" spans="1:10">
      <c r="A256" s="185"/>
      <c r="B256" s="661"/>
      <c r="C256" s="185"/>
      <c r="D256" s="185"/>
      <c r="E256" s="185"/>
      <c r="F256" s="185"/>
      <c r="G256" s="185"/>
      <c r="H256" s="185"/>
      <c r="I256" s="660"/>
      <c r="J256" s="185"/>
    </row>
    <row r="257" spans="1:10">
      <c r="A257" s="185"/>
      <c r="B257" s="661"/>
      <c r="C257" s="185"/>
      <c r="D257" s="185"/>
      <c r="E257" s="185"/>
      <c r="F257" s="185"/>
      <c r="G257" s="185"/>
      <c r="H257" s="185"/>
      <c r="I257" s="660"/>
      <c r="J257" s="185"/>
    </row>
    <row r="258" spans="1:10">
      <c r="A258" s="185"/>
      <c r="B258" s="661"/>
      <c r="C258" s="185"/>
      <c r="D258" s="185"/>
      <c r="E258" s="185"/>
      <c r="F258" s="185"/>
      <c r="G258" s="185"/>
      <c r="H258" s="185"/>
      <c r="I258" s="660"/>
      <c r="J258" s="185"/>
    </row>
    <row r="259" spans="1:10">
      <c r="A259" s="185"/>
      <c r="B259" s="661"/>
      <c r="C259" s="185"/>
      <c r="D259" s="185"/>
      <c r="E259" s="185"/>
      <c r="F259" s="185"/>
      <c r="G259" s="185"/>
      <c r="H259" s="185"/>
      <c r="I259" s="660"/>
      <c r="J259" s="185"/>
    </row>
    <row r="260" spans="1:10">
      <c r="A260" s="185"/>
      <c r="B260" s="661"/>
      <c r="C260" s="185"/>
      <c r="D260" s="185"/>
      <c r="E260" s="185"/>
      <c r="F260" s="185"/>
      <c r="G260" s="185"/>
      <c r="H260" s="185"/>
      <c r="I260" s="660"/>
      <c r="J260" s="185"/>
    </row>
    <row r="261" spans="1:10">
      <c r="A261" s="185"/>
      <c r="B261" s="661"/>
      <c r="C261" s="185"/>
      <c r="D261" s="185"/>
      <c r="E261" s="185"/>
      <c r="F261" s="185"/>
      <c r="G261" s="185"/>
      <c r="H261" s="185"/>
      <c r="I261" s="660"/>
      <c r="J261" s="185"/>
    </row>
    <row r="262" spans="1:10">
      <c r="A262" s="185"/>
      <c r="B262" s="661"/>
      <c r="C262" s="185"/>
      <c r="D262" s="185"/>
      <c r="E262" s="185"/>
      <c r="F262" s="185"/>
      <c r="G262" s="185"/>
      <c r="H262" s="185"/>
      <c r="I262" s="660"/>
      <c r="J262" s="185"/>
    </row>
    <row r="263" spans="1:10">
      <c r="A263" s="185"/>
      <c r="B263" s="661"/>
      <c r="C263" s="185"/>
      <c r="D263" s="185"/>
      <c r="E263" s="185"/>
      <c r="F263" s="185"/>
      <c r="G263" s="185"/>
      <c r="H263" s="185"/>
      <c r="I263" s="660"/>
      <c r="J263" s="185"/>
    </row>
  </sheetData>
  <mergeCells count="3">
    <mergeCell ref="B3:I3"/>
    <mergeCell ref="B5:I5"/>
    <mergeCell ref="B6:I6"/>
  </mergeCells>
  <conditionalFormatting sqref="G12 G22:G27 G32:G36 G42:G45 G15:G17">
    <cfRule type="expression" dxfId="36" priority="3" stopIfTrue="1">
      <formula>$G$8="Estimated"</formula>
    </cfRule>
  </conditionalFormatting>
  <conditionalFormatting sqref="G13">
    <cfRule type="expression" dxfId="35" priority="2" stopIfTrue="1">
      <formula>$G$8="Estimated"</formula>
    </cfRule>
  </conditionalFormatting>
  <conditionalFormatting sqref="G14:H14">
    <cfRule type="expression" dxfId="34" priority="1" stopIfTrue="1">
      <formula>$G$8="Estimated"</formula>
    </cfRule>
  </conditionalFormatting>
  <printOptions horizontalCentered="1"/>
  <pageMargins left="0.5" right="0.5" top="1" bottom="0.5" header="0" footer="0"/>
  <pageSetup scale="61" orientation="landscape" blackAndWhite="1" r:id="rId1"/>
  <headerFooter alignWithMargins="0"/>
  <legacyDrawing r:id="rId2"/>
</worksheet>
</file>

<file path=xl/worksheets/sheet18.xml><?xml version="1.0" encoding="utf-8"?>
<worksheet xmlns="http://schemas.openxmlformats.org/spreadsheetml/2006/main" xmlns:r="http://schemas.openxmlformats.org/officeDocument/2006/relationships">
  <sheetPr codeName="Sheet8">
    <pageSetUpPr fitToPage="1"/>
  </sheetPr>
  <dimension ref="A1:M279"/>
  <sheetViews>
    <sheetView showGridLines="0" topLeftCell="A16" zoomScale="85" zoomScaleNormal="85" workbookViewId="0">
      <selection activeCell="I25" sqref="I25"/>
    </sheetView>
  </sheetViews>
  <sheetFormatPr defaultColWidth="8.85546875" defaultRowHeight="12.75"/>
  <cols>
    <col min="1" max="1" width="8.85546875" style="91"/>
    <col min="2" max="2" width="3.7109375" style="91" customWidth="1"/>
    <col min="3" max="3" width="40" style="91" customWidth="1"/>
    <col min="4" max="4" width="5" style="91" customWidth="1"/>
    <col min="5" max="5" width="7.140625" style="91" customWidth="1"/>
    <col min="6" max="9" width="16.7109375" style="91" customWidth="1"/>
    <col min="10" max="12" width="8.85546875" style="91"/>
    <col min="13" max="13" width="8.85546875" style="134"/>
    <col min="14" max="16384" width="8.85546875" style="91"/>
  </cols>
  <sheetData>
    <row r="1" spans="1:12">
      <c r="A1" s="185"/>
      <c r="B1" s="714" t="str">
        <f>TestYear &amp; " Test Year"</f>
        <v>2015 Test Year</v>
      </c>
      <c r="C1" s="665"/>
      <c r="D1" s="724"/>
      <c r="E1" s="724"/>
      <c r="F1" s="665"/>
      <c r="G1" s="665"/>
      <c r="H1" s="665"/>
      <c r="I1" s="666"/>
      <c r="J1" s="666" t="s">
        <v>424</v>
      </c>
      <c r="K1" s="185"/>
      <c r="L1" s="185"/>
    </row>
    <row r="2" spans="1:12">
      <c r="A2" s="185"/>
      <c r="B2" s="665"/>
      <c r="C2" s="665"/>
      <c r="D2" s="725"/>
      <c r="E2" s="725"/>
      <c r="F2" s="665"/>
      <c r="G2" s="665"/>
      <c r="H2" s="665"/>
      <c r="I2" s="666"/>
      <c r="J2" s="185"/>
      <c r="K2" s="185"/>
      <c r="L2" s="185"/>
    </row>
    <row r="3" spans="1:12">
      <c r="A3" s="185"/>
      <c r="B3" s="1973">
        <v>-5</v>
      </c>
      <c r="C3" s="1973"/>
      <c r="D3" s="1973"/>
      <c r="E3" s="1973"/>
      <c r="F3" s="1973"/>
      <c r="G3" s="1973"/>
      <c r="H3" s="1973"/>
      <c r="I3" s="1973"/>
      <c r="J3" s="1973"/>
      <c r="K3" s="185"/>
      <c r="L3" s="185"/>
    </row>
    <row r="4" spans="1:12">
      <c r="A4" s="185"/>
      <c r="B4" s="665"/>
      <c r="C4" s="670"/>
      <c r="D4" s="670"/>
      <c r="E4" s="670"/>
      <c r="F4" s="671"/>
      <c r="G4" s="746"/>
      <c r="H4" s="746"/>
      <c r="I4" s="669"/>
      <c r="J4" s="185"/>
      <c r="K4" s="185"/>
      <c r="L4" s="185"/>
    </row>
    <row r="5" spans="1:12">
      <c r="A5" s="185"/>
      <c r="B5" s="1942" t="s">
        <v>425</v>
      </c>
      <c r="C5" s="1942"/>
      <c r="D5" s="1942"/>
      <c r="E5" s="1942"/>
      <c r="F5" s="1942"/>
      <c r="G5" s="1942"/>
      <c r="H5" s="1942"/>
      <c r="I5" s="1942"/>
      <c r="J5" s="1942"/>
      <c r="K5" s="185"/>
      <c r="L5" s="185"/>
    </row>
    <row r="6" spans="1:12" ht="13.5" thickBot="1">
      <c r="A6" s="185"/>
      <c r="B6" s="1976" t="str">
        <f>CONCATENATE("Estimated for Test Year ",TestYear)</f>
        <v>Estimated for Test Year 2015</v>
      </c>
      <c r="C6" s="1976"/>
      <c r="D6" s="1976"/>
      <c r="E6" s="1976"/>
      <c r="F6" s="1976"/>
      <c r="G6" s="1976"/>
      <c r="H6" s="1976"/>
      <c r="I6" s="1976"/>
      <c r="J6" s="1976"/>
      <c r="K6" s="185"/>
      <c r="L6" s="185"/>
    </row>
    <row r="7" spans="1:12" ht="13.5" thickTop="1">
      <c r="A7" s="185"/>
      <c r="B7" s="727"/>
      <c r="C7" s="728"/>
      <c r="D7" s="728"/>
      <c r="E7" s="728"/>
      <c r="F7" s="728"/>
      <c r="G7" s="728"/>
      <c r="H7" s="728"/>
      <c r="I7" s="728"/>
      <c r="J7" s="368"/>
      <c r="K7" s="185"/>
      <c r="L7" s="185"/>
    </row>
    <row r="8" spans="1:12">
      <c r="A8" s="185"/>
      <c r="B8" s="729" t="s">
        <v>426</v>
      </c>
      <c r="C8" s="673"/>
      <c r="D8" s="673"/>
      <c r="E8" s="673"/>
      <c r="F8" s="701"/>
      <c r="G8" s="701"/>
      <c r="H8" s="701"/>
      <c r="I8" s="673"/>
      <c r="J8" s="370"/>
      <c r="K8" s="185"/>
      <c r="L8" s="185"/>
    </row>
    <row r="9" spans="1:12" ht="14.25">
      <c r="A9" s="185"/>
      <c r="B9" s="730"/>
      <c r="C9" s="682" t="s">
        <v>427</v>
      </c>
      <c r="D9" s="673"/>
      <c r="E9" s="673"/>
      <c r="F9" s="701"/>
      <c r="G9" s="701"/>
      <c r="H9" s="701"/>
      <c r="I9" s="673"/>
      <c r="J9" s="370"/>
      <c r="K9" s="185"/>
      <c r="L9" s="185"/>
    </row>
    <row r="10" spans="1:12" ht="14.25">
      <c r="A10" s="185"/>
      <c r="B10" s="730"/>
      <c r="C10" s="698" t="str">
        <f>CONCATENATE(" 1)  For the years ",TestYear-3," and ",TestYear-2," the information is from the PSC Annual Reports, page W-6.")</f>
        <v xml:space="preserve"> 1)  For the years 2012 and 2013 the information is from the PSC Annual Reports, page W-6.</v>
      </c>
      <c r="D10" s="673"/>
      <c r="E10" s="673"/>
      <c r="F10" s="701"/>
      <c r="G10" s="701"/>
      <c r="H10" s="701"/>
      <c r="I10" s="673"/>
      <c r="J10" s="370"/>
      <c r="K10" s="185"/>
      <c r="L10" s="185"/>
    </row>
    <row r="11" spans="1:12" ht="14.25">
      <c r="A11" s="185"/>
      <c r="B11" s="730"/>
      <c r="C11" s="698" t="str">
        <f>CONCATENATE(" 2)  For Estimated ",TestYear-1," and Test Year ",TestYear,", the Property Tax Equivalent must agree with the")</f>
        <v xml:space="preserve"> 2)  For Estimated 2014 and Test Year 2015, the Property Tax Equivalent must agree with the</v>
      </c>
      <c r="D11" s="673"/>
      <c r="E11" s="673"/>
      <c r="F11" s="701"/>
      <c r="G11" s="701"/>
      <c r="H11" s="701"/>
      <c r="I11" s="673"/>
      <c r="J11" s="370"/>
      <c r="K11" s="185"/>
      <c r="L11" s="185"/>
    </row>
    <row r="12" spans="1:12" ht="14.25">
      <c r="A12" s="185"/>
      <c r="B12" s="730"/>
      <c r="C12" s="698" t="s">
        <v>428</v>
      </c>
      <c r="D12" s="673"/>
      <c r="E12" s="673"/>
      <c r="F12" s="701"/>
      <c r="G12" s="701"/>
      <c r="H12" s="701"/>
      <c r="I12" s="673"/>
      <c r="J12" s="370"/>
      <c r="K12" s="185"/>
      <c r="L12" s="185"/>
    </row>
    <row r="13" spans="1:12" ht="15" thickBot="1">
      <c r="A13" s="185"/>
      <c r="B13" s="730"/>
      <c r="C13" s="682" t="s">
        <v>429</v>
      </c>
      <c r="D13" s="673"/>
      <c r="E13" s="673"/>
      <c r="F13" s="701"/>
      <c r="G13" s="701"/>
      <c r="H13" s="701"/>
      <c r="I13" s="673"/>
      <c r="J13" s="370"/>
      <c r="K13" s="185"/>
      <c r="L13" s="185"/>
    </row>
    <row r="14" spans="1:12" ht="15.75" thickBot="1">
      <c r="A14" s="185"/>
      <c r="B14" s="730"/>
      <c r="C14" s="682" t="s">
        <v>981</v>
      </c>
      <c r="D14" s="673"/>
      <c r="E14" s="673"/>
      <c r="F14" s="701"/>
      <c r="G14" s="701"/>
      <c r="H14" s="701"/>
      <c r="I14" s="734">
        <v>50</v>
      </c>
      <c r="J14" s="370"/>
      <c r="K14" s="185"/>
      <c r="L14" s="185"/>
    </row>
    <row r="15" spans="1:12">
      <c r="A15" s="185"/>
      <c r="B15" s="373"/>
      <c r="C15" s="731"/>
      <c r="D15" s="344"/>
      <c r="E15" s="344"/>
      <c r="F15" s="732"/>
      <c r="G15" s="732"/>
      <c r="H15" s="732"/>
      <c r="I15" s="344"/>
      <c r="J15" s="370"/>
      <c r="K15" s="185"/>
      <c r="L15" s="185"/>
    </row>
    <row r="16" spans="1:12" ht="15">
      <c r="A16" s="185"/>
      <c r="B16" s="373"/>
      <c r="C16" s="708"/>
      <c r="D16" s="750" t="s">
        <v>430</v>
      </c>
      <c r="E16" s="750"/>
      <c r="F16" s="709" t="s">
        <v>8</v>
      </c>
      <c r="G16" s="709" t="s">
        <v>8</v>
      </c>
      <c r="H16" s="709" t="str">
        <f>Data!H5</f>
        <v>Estimated</v>
      </c>
      <c r="I16" s="709" t="s">
        <v>396</v>
      </c>
      <c r="J16" s="370"/>
      <c r="K16" s="185"/>
      <c r="L16" s="185"/>
    </row>
    <row r="17" spans="1:12" ht="15">
      <c r="A17" s="185"/>
      <c r="B17" s="373"/>
      <c r="C17" s="712" t="s">
        <v>398</v>
      </c>
      <c r="D17" s="751" t="s">
        <v>431</v>
      </c>
      <c r="E17" s="751"/>
      <c r="F17" s="713">
        <f>TestYear-3</f>
        <v>2012</v>
      </c>
      <c r="G17" s="713">
        <f>TestYear-2</f>
        <v>2013</v>
      </c>
      <c r="H17" s="713">
        <f>TestYear-1</f>
        <v>2014</v>
      </c>
      <c r="I17" s="713">
        <f>TestYear</f>
        <v>2015</v>
      </c>
      <c r="J17" s="370"/>
      <c r="K17" s="185"/>
      <c r="L17" s="185"/>
    </row>
    <row r="18" spans="1:12" ht="14.25">
      <c r="A18" s="185"/>
      <c r="B18" s="373"/>
      <c r="C18" s="697"/>
      <c r="D18" s="697"/>
      <c r="E18" s="697"/>
      <c r="F18" s="697"/>
      <c r="G18" s="697"/>
      <c r="H18" s="697"/>
      <c r="I18" s="697"/>
      <c r="J18" s="370"/>
      <c r="K18" s="185"/>
      <c r="L18" s="185"/>
    </row>
    <row r="19" spans="1:12" ht="14.25">
      <c r="A19" s="185"/>
      <c r="B19" s="373"/>
      <c r="C19" s="682" t="s">
        <v>432</v>
      </c>
      <c r="D19" s="682"/>
      <c r="E19" s="682"/>
      <c r="F19" s="682"/>
      <c r="G19" s="682"/>
      <c r="H19" s="682"/>
      <c r="I19" s="682"/>
      <c r="J19" s="370"/>
      <c r="K19" s="185"/>
      <c r="L19" s="185"/>
    </row>
    <row r="20" spans="1:12" ht="14.25">
      <c r="A20" s="185"/>
      <c r="B20" s="373"/>
      <c r="C20" s="682" t="s">
        <v>433</v>
      </c>
      <c r="D20" s="740" t="s">
        <v>434</v>
      </c>
      <c r="E20" s="740"/>
      <c r="F20" s="679">
        <f>Attach9!E43</f>
        <v>5017456</v>
      </c>
      <c r="G20" s="679">
        <f>Attach9!F43</f>
        <v>5581435</v>
      </c>
      <c r="H20" s="679">
        <f>IF(Attach9!G57=0,0,Attach9!G43)</f>
        <v>5916997.1301642125</v>
      </c>
      <c r="I20" s="679">
        <f>IF(Attach9!H40=0,0,Attach9!H43)</f>
        <v>6437627.6916484153</v>
      </c>
      <c r="J20" s="370"/>
      <c r="K20" s="185"/>
      <c r="L20" s="185"/>
    </row>
    <row r="21" spans="1:12" ht="14.25">
      <c r="A21" s="185"/>
      <c r="B21" s="373"/>
      <c r="C21" s="682"/>
      <c r="D21" s="682"/>
      <c r="E21" s="682"/>
      <c r="F21" s="741"/>
      <c r="G21" s="741"/>
      <c r="H21" s="741"/>
      <c r="I21" s="741"/>
      <c r="J21" s="370"/>
      <c r="K21" s="185"/>
      <c r="L21" s="185"/>
    </row>
    <row r="22" spans="1:12" ht="15">
      <c r="A22" s="185"/>
      <c r="B22" s="373"/>
      <c r="C22" s="742" t="s">
        <v>980</v>
      </c>
      <c r="D22" s="682"/>
      <c r="E22" s="682"/>
      <c r="F22" s="682"/>
      <c r="G22" s="682"/>
      <c r="H22" s="682"/>
      <c r="I22" s="682"/>
      <c r="J22" s="370"/>
      <c r="K22" s="185"/>
      <c r="L22" s="185"/>
    </row>
    <row r="23" spans="1:12" ht="14.25">
      <c r="A23" s="185"/>
      <c r="B23" s="373"/>
      <c r="C23" s="742" t="s">
        <v>435</v>
      </c>
      <c r="D23" s="740" t="s">
        <v>436</v>
      </c>
      <c r="E23" s="740"/>
      <c r="F23" s="748">
        <f>Data!B94</f>
        <v>86290</v>
      </c>
      <c r="G23" s="748">
        <f>Data!B91</f>
        <v>191388</v>
      </c>
      <c r="H23" s="748">
        <f>IF(Attach9!G40=0,0,ROUND((((Attach11!D64+Attach11a!H67)*Attach9!G35*Attach9!G38)/1000)*(I14/100)*(Attach9!G43/Attach9!G40),0))</f>
        <v>180995</v>
      </c>
      <c r="I23" s="743">
        <f>IF(Attach9!H40=0,0,ROUND((((Attach11!H64+Attach11a!H67+Attach11a!I67+Attach11!I64)*Attach9!H35*Attach9!H38)/1000)*(I14/100)*(Attach9!H43/Attach9!H40),0))</f>
        <v>185938</v>
      </c>
      <c r="J23" s="370"/>
      <c r="K23" s="185"/>
      <c r="L23" s="185"/>
    </row>
    <row r="24" spans="1:12" ht="14.25">
      <c r="A24" s="185"/>
      <c r="B24" s="373"/>
      <c r="C24" s="742"/>
      <c r="D24" s="742"/>
      <c r="E24" s="682"/>
      <c r="F24" s="679"/>
      <c r="G24" s="679"/>
      <c r="H24" s="679"/>
      <c r="I24" s="679"/>
      <c r="J24" s="370"/>
      <c r="K24" s="185"/>
      <c r="L24" s="185"/>
    </row>
    <row r="25" spans="1:12" ht="19.149999999999999" customHeight="1">
      <c r="A25" s="185"/>
      <c r="B25" s="373"/>
      <c r="C25" s="682" t="s">
        <v>437</v>
      </c>
      <c r="D25" s="682"/>
      <c r="E25" s="682"/>
      <c r="F25" s="749">
        <f>F20-F23</f>
        <v>4931166</v>
      </c>
      <c r="G25" s="749">
        <f>G20-G23</f>
        <v>5390047</v>
      </c>
      <c r="H25" s="749">
        <f>H20-H23</f>
        <v>5736002.1301642125</v>
      </c>
      <c r="I25" s="749">
        <f>I20-I23</f>
        <v>6251689.6916484153</v>
      </c>
      <c r="J25" s="370"/>
      <c r="K25" s="185"/>
      <c r="L25" s="185"/>
    </row>
    <row r="26" spans="1:12" ht="19.149999999999999" customHeight="1">
      <c r="A26" s="185"/>
      <c r="B26" s="373"/>
      <c r="C26" s="682"/>
      <c r="D26" s="682"/>
      <c r="E26" s="682"/>
      <c r="F26" s="749"/>
      <c r="G26" s="749"/>
      <c r="H26" s="744"/>
      <c r="I26" s="744"/>
      <c r="J26" s="370"/>
      <c r="K26" s="185"/>
      <c r="L26" s="185"/>
    </row>
    <row r="27" spans="1:12" ht="14.25">
      <c r="A27" s="185"/>
      <c r="B27" s="373"/>
      <c r="C27" s="682" t="s">
        <v>438</v>
      </c>
      <c r="D27" s="740" t="s">
        <v>439</v>
      </c>
      <c r="E27" s="740"/>
      <c r="F27" s="679">
        <f>Data!B96</f>
        <v>416828</v>
      </c>
      <c r="G27" s="679">
        <f>Data!B93</f>
        <v>417082</v>
      </c>
      <c r="H27" s="741">
        <v>417000</v>
      </c>
      <c r="I27" s="680">
        <v>417000</v>
      </c>
      <c r="J27" s="370"/>
      <c r="K27" s="185"/>
      <c r="L27" s="185"/>
    </row>
    <row r="28" spans="1:12" ht="14.25">
      <c r="A28" s="185"/>
      <c r="B28" s="373"/>
      <c r="C28" s="682"/>
      <c r="D28" s="682"/>
      <c r="E28" s="682"/>
      <c r="F28" s="679"/>
      <c r="G28" s="679"/>
      <c r="H28" s="741"/>
      <c r="I28" s="741"/>
      <c r="J28" s="370"/>
      <c r="K28" s="185"/>
      <c r="L28" s="185"/>
    </row>
    <row r="29" spans="1:12" ht="14.25">
      <c r="A29" s="185"/>
      <c r="B29" s="373"/>
      <c r="C29" s="682" t="s">
        <v>440</v>
      </c>
      <c r="D29" s="740" t="s">
        <v>439</v>
      </c>
      <c r="E29" s="740"/>
      <c r="F29" s="679">
        <f>Data!B95</f>
        <v>26456</v>
      </c>
      <c r="G29" s="679">
        <f>Data!B92</f>
        <v>28049</v>
      </c>
      <c r="H29" s="741">
        <v>29000</v>
      </c>
      <c r="I29" s="680">
        <v>30000</v>
      </c>
      <c r="J29" s="370"/>
      <c r="K29" s="185"/>
      <c r="L29" s="185"/>
    </row>
    <row r="30" spans="1:12" ht="14.25">
      <c r="A30" s="185"/>
      <c r="B30" s="373"/>
      <c r="C30" s="682"/>
      <c r="D30" s="682"/>
      <c r="E30" s="682"/>
      <c r="F30" s="741"/>
      <c r="G30" s="741"/>
      <c r="H30" s="741"/>
      <c r="I30" s="741"/>
      <c r="J30" s="370"/>
      <c r="K30" s="185"/>
      <c r="L30" s="185"/>
    </row>
    <row r="31" spans="1:12" ht="14.25">
      <c r="A31" s="185"/>
      <c r="B31" s="373"/>
      <c r="C31" s="682" t="s">
        <v>979</v>
      </c>
      <c r="D31" s="740" t="s">
        <v>439</v>
      </c>
      <c r="E31" s="740"/>
      <c r="F31" s="680">
        <v>-56777</v>
      </c>
      <c r="G31" s="680">
        <v>-213256</v>
      </c>
      <c r="H31" s="1841">
        <v>-329000</v>
      </c>
      <c r="I31" s="1842">
        <v>-135000</v>
      </c>
      <c r="J31" s="370"/>
      <c r="K31" s="185"/>
      <c r="L31" s="185"/>
    </row>
    <row r="32" spans="1:12" ht="14.25">
      <c r="A32" s="185"/>
      <c r="B32" s="373"/>
      <c r="C32" s="682"/>
      <c r="D32" s="682"/>
      <c r="E32" s="682"/>
      <c r="F32" s="741"/>
      <c r="G32" s="741"/>
      <c r="H32" s="741"/>
      <c r="I32" s="741"/>
      <c r="J32" s="370"/>
      <c r="K32" s="185"/>
      <c r="L32" s="185"/>
    </row>
    <row r="33" spans="1:12" ht="14.25">
      <c r="A33" s="185"/>
      <c r="B33" s="373"/>
      <c r="C33" s="682"/>
      <c r="D33" s="682"/>
      <c r="E33" s="682"/>
      <c r="F33" s="741"/>
      <c r="G33" s="741"/>
      <c r="H33" s="741"/>
      <c r="I33" s="741"/>
      <c r="J33" s="370"/>
      <c r="K33" s="185"/>
      <c r="L33" s="185"/>
    </row>
    <row r="34" spans="1:12" ht="15" thickBot="1">
      <c r="A34" s="185"/>
      <c r="B34" s="373"/>
      <c r="C34" s="682" t="s">
        <v>441</v>
      </c>
      <c r="D34" s="682"/>
      <c r="E34" s="682"/>
      <c r="F34" s="745">
        <f>SUM(F25:F32)</f>
        <v>5317673</v>
      </c>
      <c r="G34" s="745">
        <f>SUM(G25:G32)</f>
        <v>5621922</v>
      </c>
      <c r="H34" s="745">
        <f>ROUND(SUM(H25:H32),0)</f>
        <v>5853002</v>
      </c>
      <c r="I34" s="745">
        <f>ROUND(SUM(I25:I32),0)</f>
        <v>6563690</v>
      </c>
      <c r="J34" s="370"/>
      <c r="K34" s="185"/>
      <c r="L34" s="185"/>
    </row>
    <row r="35" spans="1:12" ht="15" thickTop="1">
      <c r="A35" s="185"/>
      <c r="B35" s="373"/>
      <c r="C35" s="682"/>
      <c r="D35" s="682"/>
      <c r="E35" s="682"/>
      <c r="F35" s="682"/>
      <c r="G35" s="682"/>
      <c r="H35" s="682"/>
      <c r="I35" s="682"/>
      <c r="J35" s="370"/>
      <c r="K35" s="185"/>
      <c r="L35" s="185"/>
    </row>
    <row r="36" spans="1:12">
      <c r="A36" s="185"/>
      <c r="B36" s="373"/>
      <c r="C36" s="344"/>
      <c r="D36" s="344"/>
      <c r="E36" s="344"/>
      <c r="F36" s="344"/>
      <c r="G36" s="344"/>
      <c r="H36" s="344"/>
      <c r="I36" s="344"/>
      <c r="J36" s="370"/>
      <c r="K36" s="185"/>
      <c r="L36" s="185"/>
    </row>
    <row r="37" spans="1:12">
      <c r="A37" s="185"/>
      <c r="B37" s="373"/>
      <c r="C37" s="344"/>
      <c r="D37" s="344"/>
      <c r="E37" s="344"/>
      <c r="F37" s="344"/>
      <c r="G37" s="344"/>
      <c r="H37" s="344"/>
      <c r="I37" s="344"/>
      <c r="J37" s="370"/>
      <c r="K37" s="185"/>
      <c r="L37" s="185"/>
    </row>
    <row r="38" spans="1:12">
      <c r="A38" s="185"/>
      <c r="B38" s="373"/>
      <c r="C38" s="344"/>
      <c r="D38" s="344"/>
      <c r="E38" s="344"/>
      <c r="F38" s="344"/>
      <c r="G38" s="344"/>
      <c r="H38" s="344"/>
      <c r="I38" s="344"/>
      <c r="J38" s="370"/>
      <c r="K38" s="185"/>
      <c r="L38" s="185"/>
    </row>
    <row r="39" spans="1:12">
      <c r="A39" s="185"/>
      <c r="B39" s="373"/>
      <c r="C39" s="344"/>
      <c r="D39" s="344"/>
      <c r="E39" s="344"/>
      <c r="F39" s="344"/>
      <c r="G39" s="344"/>
      <c r="H39" s="344"/>
      <c r="I39" s="344"/>
      <c r="J39" s="370"/>
      <c r="K39" s="185"/>
      <c r="L39" s="185"/>
    </row>
    <row r="40" spans="1:12">
      <c r="A40" s="185"/>
      <c r="B40" s="373"/>
      <c r="C40" s="344"/>
      <c r="D40" s="344"/>
      <c r="E40" s="344"/>
      <c r="F40" s="344"/>
      <c r="G40" s="344"/>
      <c r="H40" s="344"/>
      <c r="I40" s="344"/>
      <c r="J40" s="370"/>
      <c r="K40" s="185"/>
      <c r="L40" s="185"/>
    </row>
    <row r="41" spans="1:12" ht="13.5" thickBot="1">
      <c r="A41" s="185"/>
      <c r="B41" s="384"/>
      <c r="C41" s="385"/>
      <c r="D41" s="385"/>
      <c r="E41" s="385"/>
      <c r="F41" s="385"/>
      <c r="G41" s="385"/>
      <c r="H41" s="385"/>
      <c r="I41" s="385"/>
      <c r="J41" s="386"/>
      <c r="K41" s="185"/>
      <c r="L41" s="185"/>
    </row>
    <row r="42" spans="1:12" ht="13.5" thickTop="1">
      <c r="A42" s="185"/>
      <c r="B42" s="185"/>
      <c r="C42" s="185"/>
      <c r="D42" s="185"/>
      <c r="E42" s="185"/>
      <c r="F42" s="185"/>
      <c r="G42" s="185"/>
      <c r="H42" s="185"/>
      <c r="I42" s="185"/>
      <c r="J42" s="185"/>
      <c r="K42" s="185"/>
      <c r="L42" s="185"/>
    </row>
    <row r="43" spans="1:12">
      <c r="A43" s="185"/>
      <c r="B43" s="185"/>
      <c r="C43" s="185"/>
      <c r="D43" s="185"/>
      <c r="E43" s="185"/>
      <c r="F43" s="185"/>
      <c r="G43" s="185"/>
      <c r="H43" s="185"/>
      <c r="I43" s="185"/>
      <c r="J43" s="185"/>
      <c r="K43" s="185"/>
      <c r="L43" s="185"/>
    </row>
    <row r="44" spans="1:12">
      <c r="A44" s="185"/>
      <c r="B44" s="185"/>
      <c r="C44" s="185"/>
      <c r="D44" s="185"/>
      <c r="E44" s="185"/>
      <c r="F44" s="185"/>
      <c r="G44" s="185"/>
      <c r="H44" s="185"/>
      <c r="I44" s="185"/>
      <c r="J44" s="185"/>
      <c r="K44" s="185"/>
      <c r="L44" s="185"/>
    </row>
    <row r="45" spans="1:12">
      <c r="A45" s="185"/>
      <c r="B45" s="185"/>
      <c r="C45" s="185"/>
      <c r="D45" s="185"/>
      <c r="E45" s="185"/>
      <c r="F45" s="185"/>
      <c r="G45" s="185"/>
      <c r="H45" s="185"/>
      <c r="I45" s="185"/>
      <c r="J45" s="185"/>
      <c r="K45" s="185"/>
      <c r="L45" s="185"/>
    </row>
    <row r="46" spans="1:12">
      <c r="A46" s="185"/>
      <c r="B46" s="185"/>
      <c r="C46" s="185"/>
      <c r="D46" s="185"/>
      <c r="E46" s="185"/>
      <c r="F46" s="185"/>
      <c r="G46" s="185"/>
      <c r="H46" s="185"/>
      <c r="I46" s="185"/>
      <c r="J46" s="185"/>
      <c r="K46" s="185"/>
      <c r="L46" s="185"/>
    </row>
    <row r="47" spans="1:12">
      <c r="A47" s="185"/>
      <c r="B47" s="185"/>
      <c r="C47" s="185"/>
      <c r="D47" s="185"/>
      <c r="E47" s="185"/>
      <c r="F47" s="185"/>
      <c r="G47" s="185"/>
      <c r="H47" s="185"/>
      <c r="I47" s="185"/>
      <c r="J47" s="185"/>
      <c r="K47" s="185"/>
      <c r="L47" s="185"/>
    </row>
    <row r="48" spans="1:12">
      <c r="A48" s="185"/>
      <c r="B48" s="185"/>
      <c r="C48" s="185"/>
      <c r="D48" s="185"/>
      <c r="E48" s="185"/>
      <c r="F48" s="185"/>
      <c r="G48" s="185"/>
      <c r="H48" s="185"/>
      <c r="I48" s="185"/>
      <c r="J48" s="185"/>
      <c r="K48" s="185"/>
      <c r="L48" s="185"/>
    </row>
    <row r="49" spans="1:12">
      <c r="A49" s="185"/>
      <c r="B49" s="185"/>
      <c r="C49" s="185"/>
      <c r="D49" s="185"/>
      <c r="E49" s="185"/>
      <c r="F49" s="185"/>
      <c r="G49" s="185"/>
      <c r="H49" s="185"/>
      <c r="I49" s="185"/>
      <c r="J49" s="185"/>
      <c r="K49" s="185"/>
      <c r="L49" s="185"/>
    </row>
    <row r="50" spans="1:12">
      <c r="A50" s="185"/>
      <c r="B50" s="185"/>
      <c r="C50" s="185"/>
      <c r="D50" s="185"/>
      <c r="E50" s="185"/>
      <c r="F50" s="185"/>
      <c r="G50" s="185"/>
      <c r="H50" s="185"/>
      <c r="I50" s="185"/>
      <c r="J50" s="185"/>
      <c r="K50" s="185"/>
      <c r="L50" s="185"/>
    </row>
    <row r="51" spans="1:12">
      <c r="A51" s="185"/>
      <c r="B51" s="185"/>
      <c r="C51" s="185"/>
      <c r="D51" s="185"/>
      <c r="E51" s="185"/>
      <c r="F51" s="185"/>
      <c r="G51" s="185"/>
      <c r="H51" s="185"/>
      <c r="I51" s="185"/>
      <c r="J51" s="185"/>
      <c r="K51" s="185"/>
      <c r="L51" s="185"/>
    </row>
    <row r="52" spans="1:12">
      <c r="A52" s="185"/>
      <c r="B52" s="185"/>
      <c r="C52" s="185"/>
      <c r="D52" s="185"/>
      <c r="E52" s="185"/>
      <c r="F52" s="185"/>
      <c r="G52" s="185"/>
      <c r="H52" s="185"/>
      <c r="I52" s="185"/>
      <c r="J52" s="185"/>
      <c r="K52" s="185"/>
      <c r="L52" s="185"/>
    </row>
    <row r="53" spans="1:12">
      <c r="A53" s="185"/>
      <c r="B53" s="185"/>
      <c r="C53" s="185"/>
      <c r="D53" s="185"/>
      <c r="E53" s="185"/>
      <c r="F53" s="185"/>
      <c r="G53" s="185"/>
      <c r="H53" s="185"/>
      <c r="I53" s="185"/>
      <c r="J53" s="185"/>
      <c r="K53" s="185"/>
      <c r="L53" s="185"/>
    </row>
    <row r="54" spans="1:12">
      <c r="A54" s="185"/>
      <c r="B54" s="185"/>
      <c r="C54" s="185"/>
      <c r="D54" s="185"/>
      <c r="E54" s="185"/>
      <c r="F54" s="185"/>
      <c r="G54" s="185"/>
      <c r="H54" s="185"/>
      <c r="I54" s="185"/>
      <c r="J54" s="185"/>
      <c r="K54" s="185"/>
      <c r="L54" s="185"/>
    </row>
    <row r="55" spans="1:12">
      <c r="A55" s="185"/>
      <c r="B55" s="185"/>
      <c r="C55" s="185"/>
      <c r="D55" s="185"/>
      <c r="E55" s="185"/>
      <c r="F55" s="185"/>
      <c r="G55" s="185"/>
      <c r="H55" s="185"/>
      <c r="I55" s="185"/>
      <c r="J55" s="185"/>
      <c r="K55" s="185"/>
      <c r="L55" s="185"/>
    </row>
    <row r="56" spans="1:12">
      <c r="A56" s="185"/>
      <c r="B56" s="185"/>
      <c r="C56" s="185"/>
      <c r="D56" s="185"/>
      <c r="E56" s="185"/>
      <c r="F56" s="185"/>
      <c r="G56" s="185"/>
      <c r="H56" s="185"/>
      <c r="I56" s="185"/>
      <c r="J56" s="185"/>
      <c r="K56" s="185"/>
      <c r="L56" s="185"/>
    </row>
    <row r="57" spans="1:12">
      <c r="A57" s="185"/>
      <c r="B57" s="185"/>
      <c r="C57" s="185"/>
      <c r="D57" s="185"/>
      <c r="E57" s="185"/>
      <c r="F57" s="185"/>
      <c r="G57" s="185"/>
      <c r="H57" s="185"/>
      <c r="I57" s="185"/>
      <c r="J57" s="185"/>
      <c r="K57" s="185"/>
      <c r="L57" s="185"/>
    </row>
    <row r="58" spans="1:12">
      <c r="A58" s="185"/>
      <c r="B58" s="185"/>
      <c r="C58" s="185"/>
      <c r="D58" s="185"/>
      <c r="E58" s="185"/>
      <c r="F58" s="185"/>
      <c r="G58" s="185"/>
      <c r="H58" s="185"/>
      <c r="I58" s="185"/>
      <c r="J58" s="185"/>
      <c r="K58" s="185"/>
      <c r="L58" s="185"/>
    </row>
    <row r="59" spans="1:12">
      <c r="A59" s="185"/>
      <c r="B59" s="185"/>
      <c r="C59" s="185"/>
      <c r="D59" s="185"/>
      <c r="E59" s="185"/>
      <c r="F59" s="185"/>
      <c r="G59" s="185"/>
      <c r="H59" s="185"/>
      <c r="I59" s="185"/>
      <c r="J59" s="185"/>
      <c r="K59" s="185"/>
      <c r="L59" s="185"/>
    </row>
    <row r="60" spans="1:12">
      <c r="A60" s="185"/>
      <c r="B60" s="185"/>
      <c r="C60" s="185"/>
      <c r="D60" s="185"/>
      <c r="E60" s="185"/>
      <c r="F60" s="185"/>
      <c r="G60" s="185"/>
      <c r="H60" s="185"/>
      <c r="I60" s="185"/>
      <c r="J60" s="185"/>
      <c r="K60" s="185"/>
      <c r="L60" s="185"/>
    </row>
    <row r="61" spans="1:12">
      <c r="A61" s="185"/>
      <c r="B61" s="185"/>
      <c r="C61" s="185"/>
      <c r="D61" s="185"/>
      <c r="E61" s="185"/>
      <c r="F61" s="185"/>
      <c r="G61" s="185"/>
      <c r="H61" s="185"/>
      <c r="I61" s="185"/>
      <c r="J61" s="185"/>
      <c r="K61" s="185"/>
      <c r="L61" s="185"/>
    </row>
    <row r="62" spans="1:12">
      <c r="A62" s="185"/>
      <c r="B62" s="185"/>
      <c r="C62" s="185"/>
      <c r="D62" s="185"/>
      <c r="E62" s="185"/>
      <c r="F62" s="185"/>
      <c r="G62" s="185"/>
      <c r="H62" s="185"/>
      <c r="I62" s="185"/>
      <c r="J62" s="185"/>
      <c r="K62" s="185"/>
      <c r="L62" s="185"/>
    </row>
    <row r="63" spans="1:12">
      <c r="A63" s="185"/>
      <c r="B63" s="185"/>
      <c r="C63" s="185"/>
      <c r="D63" s="185"/>
      <c r="E63" s="185"/>
      <c r="F63" s="185"/>
      <c r="G63" s="185"/>
      <c r="H63" s="185"/>
      <c r="I63" s="185"/>
      <c r="J63" s="185"/>
      <c r="K63" s="185"/>
      <c r="L63" s="185"/>
    </row>
    <row r="64" spans="1:12">
      <c r="A64" s="185"/>
      <c r="B64" s="185"/>
      <c r="C64" s="185"/>
      <c r="D64" s="185"/>
      <c r="E64" s="185"/>
      <c r="F64" s="185"/>
      <c r="G64" s="185"/>
      <c r="H64" s="185"/>
      <c r="I64" s="185"/>
      <c r="J64" s="185"/>
      <c r="K64" s="185"/>
      <c r="L64" s="185"/>
    </row>
    <row r="65" spans="1:12">
      <c r="A65" s="185"/>
      <c r="B65" s="185"/>
      <c r="C65" s="185"/>
      <c r="D65" s="185"/>
      <c r="E65" s="185"/>
      <c r="F65" s="185"/>
      <c r="G65" s="185"/>
      <c r="H65" s="185"/>
      <c r="I65" s="185"/>
      <c r="J65" s="185"/>
      <c r="K65" s="185"/>
      <c r="L65" s="185"/>
    </row>
    <row r="66" spans="1:12">
      <c r="A66" s="185"/>
      <c r="B66" s="185"/>
      <c r="C66" s="185"/>
      <c r="D66" s="185"/>
      <c r="E66" s="185"/>
      <c r="F66" s="185"/>
      <c r="G66" s="185"/>
      <c r="H66" s="185"/>
      <c r="I66" s="185"/>
      <c r="J66" s="185"/>
      <c r="K66" s="185"/>
      <c r="L66" s="185"/>
    </row>
    <row r="67" spans="1:12">
      <c r="A67" s="185"/>
      <c r="B67" s="185"/>
      <c r="C67" s="185"/>
      <c r="D67" s="185"/>
      <c r="E67" s="185"/>
      <c r="F67" s="185"/>
      <c r="G67" s="185"/>
      <c r="H67" s="185"/>
      <c r="I67" s="185"/>
      <c r="J67" s="185"/>
      <c r="K67" s="185"/>
      <c r="L67" s="185"/>
    </row>
    <row r="68" spans="1:12">
      <c r="A68" s="185"/>
      <c r="B68" s="185"/>
      <c r="C68" s="185"/>
      <c r="D68" s="185"/>
      <c r="E68" s="185"/>
      <c r="F68" s="185"/>
      <c r="G68" s="185"/>
      <c r="H68" s="185"/>
      <c r="I68" s="185"/>
      <c r="J68" s="185"/>
      <c r="K68" s="185"/>
      <c r="L68" s="185"/>
    </row>
    <row r="69" spans="1:12">
      <c r="A69" s="185"/>
      <c r="B69" s="185"/>
      <c r="C69" s="185"/>
      <c r="D69" s="185"/>
      <c r="E69" s="185"/>
      <c r="F69" s="185"/>
      <c r="G69" s="185"/>
      <c r="H69" s="185"/>
      <c r="I69" s="185"/>
      <c r="J69" s="185"/>
      <c r="K69" s="185"/>
      <c r="L69" s="185"/>
    </row>
    <row r="70" spans="1:12">
      <c r="A70" s="185"/>
      <c r="B70" s="185"/>
      <c r="C70" s="185"/>
      <c r="D70" s="185"/>
      <c r="E70" s="185"/>
      <c r="F70" s="185"/>
      <c r="G70" s="185"/>
      <c r="H70" s="185"/>
      <c r="I70" s="185"/>
      <c r="J70" s="185"/>
      <c r="K70" s="185"/>
      <c r="L70" s="185"/>
    </row>
    <row r="71" spans="1:12">
      <c r="A71" s="185"/>
      <c r="B71" s="185"/>
      <c r="C71" s="185"/>
      <c r="D71" s="185"/>
      <c r="E71" s="185"/>
      <c r="F71" s="185"/>
      <c r="G71" s="185"/>
      <c r="H71" s="185"/>
      <c r="I71" s="185"/>
      <c r="J71" s="185"/>
      <c r="K71" s="185"/>
      <c r="L71" s="185"/>
    </row>
    <row r="72" spans="1:12">
      <c r="A72" s="185"/>
      <c r="B72" s="185"/>
      <c r="C72" s="185"/>
      <c r="D72" s="185"/>
      <c r="E72" s="185"/>
      <c r="F72" s="185"/>
      <c r="G72" s="185"/>
      <c r="H72" s="185"/>
      <c r="I72" s="185"/>
      <c r="J72" s="185"/>
      <c r="K72" s="185"/>
      <c r="L72" s="185"/>
    </row>
    <row r="73" spans="1:12">
      <c r="A73" s="185"/>
      <c r="B73" s="185"/>
      <c r="C73" s="185"/>
      <c r="D73" s="185"/>
      <c r="E73" s="185"/>
      <c r="F73" s="185"/>
      <c r="G73" s="185"/>
      <c r="H73" s="185"/>
      <c r="I73" s="185"/>
      <c r="J73" s="185"/>
      <c r="K73" s="185"/>
      <c r="L73" s="185"/>
    </row>
    <row r="74" spans="1:12">
      <c r="A74" s="185"/>
      <c r="B74" s="185"/>
      <c r="C74" s="185"/>
      <c r="D74" s="185"/>
      <c r="E74" s="185"/>
      <c r="F74" s="185"/>
      <c r="G74" s="185"/>
      <c r="H74" s="185"/>
      <c r="I74" s="185"/>
      <c r="J74" s="185"/>
      <c r="K74" s="185"/>
      <c r="L74" s="185"/>
    </row>
    <row r="75" spans="1:12">
      <c r="A75" s="185"/>
      <c r="B75" s="185"/>
      <c r="C75" s="185"/>
      <c r="D75" s="185"/>
      <c r="E75" s="185"/>
      <c r="F75" s="185"/>
      <c r="G75" s="185"/>
      <c r="H75" s="185"/>
      <c r="I75" s="185"/>
      <c r="J75" s="185"/>
      <c r="K75" s="185"/>
      <c r="L75" s="185"/>
    </row>
    <row r="76" spans="1:12">
      <c r="A76" s="185"/>
      <c r="B76" s="185"/>
      <c r="C76" s="185"/>
      <c r="D76" s="185"/>
      <c r="E76" s="185"/>
      <c r="F76" s="185"/>
      <c r="G76" s="185"/>
      <c r="H76" s="185"/>
      <c r="I76" s="185"/>
      <c r="J76" s="185"/>
      <c r="K76" s="185"/>
      <c r="L76" s="185"/>
    </row>
    <row r="77" spans="1:12">
      <c r="A77" s="185"/>
      <c r="B77" s="185"/>
      <c r="C77" s="185"/>
      <c r="D77" s="185"/>
      <c r="E77" s="185"/>
      <c r="F77" s="185"/>
      <c r="G77" s="185"/>
      <c r="H77" s="185"/>
      <c r="I77" s="185"/>
      <c r="J77" s="185"/>
      <c r="K77" s="185"/>
      <c r="L77" s="185"/>
    </row>
    <row r="78" spans="1:12">
      <c r="A78" s="185"/>
      <c r="B78" s="185"/>
      <c r="C78" s="185"/>
      <c r="D78" s="185"/>
      <c r="E78" s="185"/>
      <c r="F78" s="185"/>
      <c r="G78" s="185"/>
      <c r="H78" s="185"/>
      <c r="I78" s="185"/>
      <c r="J78" s="185"/>
      <c r="K78" s="185"/>
      <c r="L78" s="185"/>
    </row>
    <row r="79" spans="1:12">
      <c r="A79" s="185"/>
      <c r="B79" s="185"/>
      <c r="C79" s="185"/>
      <c r="D79" s="185"/>
      <c r="E79" s="185"/>
      <c r="F79" s="185"/>
      <c r="G79" s="185"/>
      <c r="H79" s="185"/>
      <c r="I79" s="185"/>
      <c r="J79" s="185"/>
      <c r="K79" s="185"/>
      <c r="L79" s="185"/>
    </row>
    <row r="80" spans="1:12">
      <c r="A80" s="185"/>
      <c r="B80" s="185"/>
      <c r="C80" s="185"/>
      <c r="D80" s="185"/>
      <c r="E80" s="185"/>
      <c r="F80" s="185"/>
      <c r="G80" s="185"/>
      <c r="H80" s="185"/>
      <c r="I80" s="185"/>
      <c r="J80" s="185"/>
      <c r="K80" s="185"/>
      <c r="L80" s="185"/>
    </row>
    <row r="81" spans="1:12">
      <c r="A81" s="185"/>
      <c r="B81" s="185"/>
      <c r="C81" s="185"/>
      <c r="D81" s="185"/>
      <c r="E81" s="185"/>
      <c r="F81" s="185"/>
      <c r="G81" s="185"/>
      <c r="H81" s="185"/>
      <c r="I81" s="185"/>
      <c r="J81" s="185"/>
      <c r="K81" s="185"/>
      <c r="L81" s="185"/>
    </row>
    <row r="82" spans="1:12">
      <c r="A82" s="185"/>
      <c r="B82" s="185"/>
      <c r="C82" s="185"/>
      <c r="D82" s="185"/>
      <c r="E82" s="185"/>
      <c r="F82" s="185"/>
      <c r="G82" s="185"/>
      <c r="H82" s="185"/>
      <c r="I82" s="185"/>
      <c r="J82" s="185"/>
      <c r="K82" s="185"/>
      <c r="L82" s="185"/>
    </row>
    <row r="83" spans="1:12">
      <c r="A83" s="185"/>
      <c r="B83" s="185"/>
      <c r="C83" s="185"/>
      <c r="D83" s="185"/>
      <c r="E83" s="185"/>
      <c r="F83" s="185"/>
      <c r="G83" s="185"/>
      <c r="H83" s="185"/>
      <c r="I83" s="185"/>
      <c r="J83" s="185"/>
      <c r="K83" s="185"/>
      <c r="L83" s="185"/>
    </row>
    <row r="84" spans="1:12">
      <c r="A84" s="185"/>
      <c r="B84" s="185"/>
      <c r="C84" s="185"/>
      <c r="D84" s="185"/>
      <c r="E84" s="185"/>
      <c r="F84" s="185"/>
      <c r="G84" s="185"/>
      <c r="H84" s="185"/>
      <c r="I84" s="185"/>
      <c r="J84" s="185"/>
      <c r="K84" s="185"/>
      <c r="L84" s="185"/>
    </row>
    <row r="85" spans="1:12">
      <c r="A85" s="185"/>
      <c r="B85" s="185"/>
      <c r="C85" s="185"/>
      <c r="D85" s="185"/>
      <c r="E85" s="185"/>
      <c r="F85" s="185"/>
      <c r="G85" s="185"/>
      <c r="H85" s="185"/>
      <c r="I85" s="185"/>
      <c r="J85" s="185"/>
      <c r="K85" s="185"/>
      <c r="L85" s="185"/>
    </row>
    <row r="86" spans="1:12">
      <c r="A86" s="185"/>
      <c r="B86" s="185"/>
      <c r="C86" s="185"/>
      <c r="D86" s="185"/>
      <c r="E86" s="185"/>
      <c r="F86" s="185"/>
      <c r="G86" s="185"/>
      <c r="H86" s="185"/>
      <c r="I86" s="185"/>
      <c r="J86" s="185"/>
      <c r="K86" s="185"/>
      <c r="L86" s="185"/>
    </row>
    <row r="87" spans="1:12">
      <c r="A87" s="185"/>
      <c r="B87" s="185"/>
      <c r="C87" s="185"/>
      <c r="D87" s="185"/>
      <c r="E87" s="185"/>
      <c r="F87" s="185"/>
      <c r="G87" s="185"/>
      <c r="H87" s="185"/>
      <c r="I87" s="185"/>
      <c r="J87" s="185"/>
      <c r="K87" s="185"/>
      <c r="L87" s="185"/>
    </row>
    <row r="88" spans="1:12">
      <c r="A88" s="185"/>
      <c r="B88" s="185"/>
      <c r="C88" s="185"/>
      <c r="D88" s="185"/>
      <c r="E88" s="185"/>
      <c r="F88" s="185"/>
      <c r="G88" s="185"/>
      <c r="H88" s="185"/>
      <c r="I88" s="185"/>
      <c r="J88" s="185"/>
      <c r="K88" s="185"/>
      <c r="L88" s="185"/>
    </row>
    <row r="89" spans="1:12">
      <c r="A89" s="185"/>
      <c r="B89" s="185"/>
      <c r="C89" s="185"/>
      <c r="D89" s="185"/>
      <c r="E89" s="185"/>
      <c r="F89" s="185"/>
      <c r="G89" s="185"/>
      <c r="H89" s="185"/>
      <c r="I89" s="185"/>
      <c r="J89" s="185"/>
      <c r="K89" s="185"/>
      <c r="L89" s="185"/>
    </row>
    <row r="90" spans="1:12">
      <c r="A90" s="185"/>
      <c r="B90" s="185"/>
      <c r="C90" s="185"/>
      <c r="D90" s="185"/>
      <c r="E90" s="185"/>
      <c r="F90" s="185"/>
      <c r="G90" s="185"/>
      <c r="H90" s="185"/>
      <c r="I90" s="185"/>
      <c r="J90" s="185"/>
      <c r="K90" s="185"/>
      <c r="L90" s="185"/>
    </row>
    <row r="91" spans="1:12">
      <c r="A91" s="185"/>
      <c r="B91" s="185"/>
      <c r="C91" s="185"/>
      <c r="D91" s="185"/>
      <c r="E91" s="185"/>
      <c r="F91" s="185"/>
      <c r="G91" s="185"/>
      <c r="H91" s="185"/>
      <c r="I91" s="185"/>
      <c r="J91" s="185"/>
      <c r="K91" s="185"/>
      <c r="L91" s="185"/>
    </row>
    <row r="92" spans="1:12">
      <c r="A92" s="185"/>
      <c r="B92" s="185"/>
      <c r="C92" s="185"/>
      <c r="D92" s="185"/>
      <c r="E92" s="185"/>
      <c r="F92" s="185"/>
      <c r="G92" s="185"/>
      <c r="H92" s="185"/>
      <c r="I92" s="185"/>
      <c r="J92" s="185"/>
      <c r="K92" s="185"/>
      <c r="L92" s="185"/>
    </row>
    <row r="93" spans="1:12">
      <c r="A93" s="185"/>
      <c r="B93" s="185"/>
      <c r="C93" s="185"/>
      <c r="D93" s="185"/>
      <c r="E93" s="185"/>
      <c r="F93" s="185"/>
      <c r="G93" s="185"/>
      <c r="H93" s="185"/>
      <c r="I93" s="185"/>
      <c r="J93" s="185"/>
      <c r="K93" s="185"/>
      <c r="L93" s="185"/>
    </row>
    <row r="94" spans="1:12">
      <c r="A94" s="185"/>
      <c r="B94" s="185"/>
      <c r="C94" s="185"/>
      <c r="D94" s="185"/>
      <c r="E94" s="185"/>
      <c r="F94" s="185"/>
      <c r="G94" s="185"/>
      <c r="H94" s="185"/>
      <c r="I94" s="185"/>
      <c r="J94" s="185"/>
      <c r="K94" s="185"/>
      <c r="L94" s="185"/>
    </row>
    <row r="95" spans="1:12">
      <c r="A95" s="185"/>
      <c r="B95" s="185"/>
      <c r="C95" s="185"/>
      <c r="D95" s="185"/>
      <c r="E95" s="185"/>
      <c r="F95" s="185"/>
      <c r="G95" s="185"/>
      <c r="H95" s="185"/>
      <c r="I95" s="185"/>
      <c r="J95" s="185"/>
      <c r="K95" s="185"/>
      <c r="L95" s="185"/>
    </row>
    <row r="96" spans="1:12">
      <c r="A96" s="185"/>
      <c r="B96" s="185"/>
      <c r="C96" s="185"/>
      <c r="D96" s="185"/>
      <c r="E96" s="185"/>
      <c r="F96" s="185"/>
      <c r="G96" s="185"/>
      <c r="H96" s="185"/>
      <c r="I96" s="185"/>
      <c r="J96" s="185"/>
      <c r="K96" s="185"/>
      <c r="L96" s="185"/>
    </row>
    <row r="97" spans="1:12">
      <c r="A97" s="185"/>
      <c r="B97" s="185"/>
      <c r="C97" s="185"/>
      <c r="D97" s="185"/>
      <c r="E97" s="185"/>
      <c r="F97" s="185"/>
      <c r="G97" s="185"/>
      <c r="H97" s="185"/>
      <c r="I97" s="185"/>
      <c r="J97" s="185"/>
      <c r="K97" s="185"/>
      <c r="L97" s="185"/>
    </row>
    <row r="98" spans="1:12">
      <c r="A98" s="185"/>
      <c r="B98" s="185"/>
      <c r="C98" s="185"/>
      <c r="D98" s="185"/>
      <c r="E98" s="185"/>
      <c r="F98" s="185"/>
      <c r="G98" s="185"/>
      <c r="H98" s="185"/>
      <c r="I98" s="185"/>
      <c r="J98" s="185"/>
      <c r="K98" s="185"/>
      <c r="L98" s="185"/>
    </row>
    <row r="99" spans="1:12">
      <c r="A99" s="185"/>
      <c r="B99" s="185"/>
      <c r="C99" s="185"/>
      <c r="D99" s="185"/>
      <c r="E99" s="185"/>
      <c r="F99" s="185"/>
      <c r="G99" s="185"/>
      <c r="H99" s="185"/>
      <c r="I99" s="185"/>
      <c r="J99" s="185"/>
      <c r="K99" s="185"/>
      <c r="L99" s="185"/>
    </row>
    <row r="100" spans="1:12">
      <c r="A100" s="185"/>
      <c r="B100" s="185"/>
      <c r="C100" s="185"/>
      <c r="D100" s="185"/>
      <c r="E100" s="185"/>
      <c r="F100" s="185"/>
      <c r="G100" s="185"/>
      <c r="H100" s="185"/>
      <c r="I100" s="185"/>
      <c r="J100" s="185"/>
      <c r="K100" s="185"/>
      <c r="L100" s="185"/>
    </row>
    <row r="101" spans="1:12">
      <c r="A101" s="185"/>
      <c r="B101" s="185"/>
      <c r="C101" s="185"/>
      <c r="D101" s="185"/>
      <c r="E101" s="185"/>
      <c r="F101" s="185"/>
      <c r="G101" s="185"/>
      <c r="H101" s="185"/>
      <c r="I101" s="185"/>
      <c r="J101" s="185"/>
      <c r="K101" s="185"/>
      <c r="L101" s="185"/>
    </row>
    <row r="102" spans="1:12">
      <c r="A102" s="185"/>
      <c r="B102" s="185"/>
      <c r="C102" s="185"/>
      <c r="D102" s="185"/>
      <c r="E102" s="185"/>
      <c r="F102" s="185"/>
      <c r="G102" s="185"/>
      <c r="H102" s="185"/>
      <c r="I102" s="185"/>
      <c r="J102" s="185"/>
      <c r="K102" s="185"/>
      <c r="L102" s="185"/>
    </row>
    <row r="103" spans="1:12">
      <c r="A103" s="185"/>
      <c r="B103" s="185"/>
      <c r="C103" s="185"/>
      <c r="D103" s="185"/>
      <c r="E103" s="185"/>
      <c r="F103" s="185"/>
      <c r="G103" s="185"/>
      <c r="H103" s="185"/>
      <c r="I103" s="185"/>
      <c r="J103" s="185"/>
      <c r="K103" s="185"/>
      <c r="L103" s="185"/>
    </row>
    <row r="104" spans="1:12">
      <c r="A104" s="185"/>
      <c r="B104" s="185"/>
      <c r="C104" s="185"/>
      <c r="D104" s="185"/>
      <c r="E104" s="185"/>
      <c r="F104" s="185"/>
      <c r="G104" s="185"/>
      <c r="H104" s="185"/>
      <c r="I104" s="185"/>
      <c r="J104" s="185"/>
      <c r="K104" s="185"/>
      <c r="L104" s="185"/>
    </row>
    <row r="105" spans="1:12">
      <c r="A105" s="185"/>
      <c r="B105" s="185"/>
      <c r="C105" s="185"/>
      <c r="D105" s="185"/>
      <c r="E105" s="185"/>
      <c r="F105" s="185"/>
      <c r="G105" s="185"/>
      <c r="H105" s="185"/>
      <c r="I105" s="185"/>
      <c r="J105" s="185"/>
      <c r="K105" s="185"/>
      <c r="L105" s="185"/>
    </row>
    <row r="106" spans="1:12">
      <c r="A106" s="185"/>
      <c r="B106" s="185"/>
      <c r="C106" s="185"/>
      <c r="D106" s="185"/>
      <c r="E106" s="185"/>
      <c r="F106" s="185"/>
      <c r="G106" s="185"/>
      <c r="H106" s="185"/>
      <c r="I106" s="185"/>
      <c r="J106" s="185"/>
      <c r="K106" s="185"/>
      <c r="L106" s="185"/>
    </row>
    <row r="107" spans="1:12">
      <c r="A107" s="185"/>
      <c r="B107" s="185"/>
      <c r="C107" s="185"/>
      <c r="D107" s="185"/>
      <c r="E107" s="185"/>
      <c r="F107" s="185"/>
      <c r="G107" s="185"/>
      <c r="H107" s="185"/>
      <c r="I107" s="185"/>
      <c r="J107" s="185"/>
      <c r="K107" s="185"/>
      <c r="L107" s="185"/>
    </row>
    <row r="108" spans="1:12">
      <c r="A108" s="185"/>
      <c r="B108" s="185"/>
      <c r="C108" s="185"/>
      <c r="D108" s="185"/>
      <c r="E108" s="185"/>
      <c r="F108" s="185"/>
      <c r="G108" s="185"/>
      <c r="H108" s="185"/>
      <c r="I108" s="185"/>
      <c r="J108" s="185"/>
      <c r="K108" s="185"/>
      <c r="L108" s="185"/>
    </row>
    <row r="109" spans="1:12">
      <c r="A109" s="185"/>
      <c r="B109" s="185"/>
      <c r="C109" s="185"/>
      <c r="D109" s="185"/>
      <c r="E109" s="185"/>
      <c r="F109" s="185"/>
      <c r="G109" s="185"/>
      <c r="H109" s="185"/>
      <c r="I109" s="185"/>
      <c r="J109" s="185"/>
      <c r="K109" s="185"/>
      <c r="L109" s="185"/>
    </row>
    <row r="110" spans="1:12">
      <c r="A110" s="185"/>
      <c r="B110" s="185"/>
      <c r="C110" s="185"/>
      <c r="D110" s="185"/>
      <c r="E110" s="185"/>
      <c r="F110" s="185"/>
      <c r="G110" s="185"/>
      <c r="H110" s="185"/>
      <c r="I110" s="185"/>
      <c r="J110" s="185"/>
      <c r="K110" s="185"/>
      <c r="L110" s="185"/>
    </row>
    <row r="111" spans="1:12">
      <c r="A111" s="185"/>
      <c r="B111" s="185"/>
      <c r="C111" s="185"/>
      <c r="D111" s="185"/>
      <c r="E111" s="185"/>
      <c r="F111" s="185"/>
      <c r="G111" s="185"/>
      <c r="H111" s="185"/>
      <c r="I111" s="185"/>
      <c r="J111" s="185"/>
      <c r="K111" s="185"/>
      <c r="L111" s="185"/>
    </row>
    <row r="112" spans="1:12">
      <c r="A112" s="185"/>
      <c r="B112" s="185"/>
      <c r="C112" s="185"/>
      <c r="D112" s="185"/>
      <c r="E112" s="185"/>
      <c r="F112" s="185"/>
      <c r="G112" s="185"/>
      <c r="H112" s="185"/>
      <c r="I112" s="185"/>
      <c r="J112" s="185"/>
      <c r="K112" s="185"/>
      <c r="L112" s="185"/>
    </row>
    <row r="113" spans="1:12">
      <c r="A113" s="185"/>
      <c r="B113" s="185"/>
      <c r="C113" s="185"/>
      <c r="D113" s="185"/>
      <c r="E113" s="185"/>
      <c r="F113" s="185"/>
      <c r="G113" s="185"/>
      <c r="H113" s="185"/>
      <c r="I113" s="185"/>
      <c r="J113" s="185"/>
      <c r="K113" s="185"/>
      <c r="L113" s="185"/>
    </row>
    <row r="114" spans="1:12">
      <c r="A114" s="185"/>
      <c r="B114" s="185"/>
      <c r="C114" s="185"/>
      <c r="D114" s="185"/>
      <c r="E114" s="185"/>
      <c r="F114" s="185"/>
      <c r="G114" s="185"/>
      <c r="H114" s="185"/>
      <c r="I114" s="185"/>
      <c r="J114" s="185"/>
      <c r="K114" s="185"/>
      <c r="L114" s="185"/>
    </row>
    <row r="115" spans="1:12">
      <c r="A115" s="185"/>
      <c r="B115" s="185"/>
      <c r="C115" s="185"/>
      <c r="D115" s="185"/>
      <c r="E115" s="185"/>
      <c r="F115" s="185"/>
      <c r="G115" s="185"/>
      <c r="H115" s="185"/>
      <c r="I115" s="185"/>
      <c r="J115" s="185"/>
      <c r="K115" s="185"/>
      <c r="L115" s="185"/>
    </row>
    <row r="116" spans="1:12">
      <c r="A116" s="185"/>
      <c r="B116" s="185"/>
      <c r="C116" s="185"/>
      <c r="D116" s="185"/>
      <c r="E116" s="185"/>
      <c r="F116" s="185"/>
      <c r="G116" s="185"/>
      <c r="H116" s="185"/>
      <c r="I116" s="185"/>
      <c r="J116" s="185"/>
      <c r="K116" s="185"/>
      <c r="L116" s="185"/>
    </row>
    <row r="117" spans="1:12">
      <c r="A117" s="185"/>
      <c r="B117" s="185"/>
      <c r="C117" s="185"/>
      <c r="D117" s="185"/>
      <c r="E117" s="185"/>
      <c r="F117" s="185"/>
      <c r="G117" s="185"/>
      <c r="H117" s="185"/>
      <c r="I117" s="185"/>
      <c r="J117" s="185"/>
      <c r="K117" s="185"/>
      <c r="L117" s="185"/>
    </row>
    <row r="118" spans="1:12">
      <c r="A118" s="185"/>
      <c r="B118" s="185"/>
      <c r="C118" s="185"/>
      <c r="D118" s="185"/>
      <c r="E118" s="185"/>
      <c r="F118" s="185"/>
      <c r="G118" s="185"/>
      <c r="H118" s="185"/>
      <c r="I118" s="185"/>
      <c r="J118" s="185"/>
      <c r="K118" s="185"/>
      <c r="L118" s="185"/>
    </row>
    <row r="119" spans="1:12">
      <c r="A119" s="185"/>
      <c r="B119" s="185"/>
      <c r="C119" s="185"/>
      <c r="D119" s="185"/>
      <c r="E119" s="185"/>
      <c r="F119" s="185"/>
      <c r="G119" s="185"/>
      <c r="H119" s="185"/>
      <c r="I119" s="185"/>
      <c r="J119" s="185"/>
      <c r="K119" s="185"/>
      <c r="L119" s="185"/>
    </row>
    <row r="120" spans="1:12">
      <c r="A120" s="185"/>
      <c r="B120" s="185"/>
      <c r="C120" s="185"/>
      <c r="D120" s="185"/>
      <c r="E120" s="185"/>
      <c r="F120" s="185"/>
      <c r="G120" s="185"/>
      <c r="H120" s="185"/>
      <c r="I120" s="185"/>
      <c r="J120" s="185"/>
      <c r="K120" s="185"/>
      <c r="L120" s="185"/>
    </row>
    <row r="121" spans="1:12">
      <c r="A121" s="185"/>
      <c r="B121" s="185"/>
      <c r="C121" s="185"/>
      <c r="D121" s="185"/>
      <c r="E121" s="185"/>
      <c r="F121" s="185"/>
      <c r="G121" s="185"/>
      <c r="H121" s="185"/>
      <c r="I121" s="185"/>
      <c r="J121" s="185"/>
      <c r="K121" s="185"/>
      <c r="L121" s="185"/>
    </row>
    <row r="122" spans="1:12">
      <c r="A122" s="185"/>
      <c r="B122" s="185"/>
      <c r="C122" s="185"/>
      <c r="D122" s="185"/>
      <c r="E122" s="185"/>
      <c r="F122" s="185"/>
      <c r="G122" s="185"/>
      <c r="H122" s="185"/>
      <c r="I122" s="185"/>
      <c r="J122" s="185"/>
      <c r="K122" s="185"/>
      <c r="L122" s="185"/>
    </row>
    <row r="123" spans="1:12">
      <c r="A123" s="185"/>
      <c r="B123" s="185"/>
      <c r="C123" s="185"/>
      <c r="D123" s="185"/>
      <c r="E123" s="185"/>
      <c r="F123" s="185"/>
      <c r="G123" s="185"/>
      <c r="H123" s="185"/>
      <c r="I123" s="185"/>
      <c r="J123" s="185"/>
      <c r="K123" s="185"/>
      <c r="L123" s="185"/>
    </row>
    <row r="124" spans="1:12">
      <c r="A124" s="185"/>
      <c r="B124" s="185"/>
      <c r="C124" s="185"/>
      <c r="D124" s="185"/>
      <c r="E124" s="185"/>
      <c r="F124" s="185"/>
      <c r="G124" s="185"/>
      <c r="H124" s="185"/>
      <c r="I124" s="185"/>
      <c r="J124" s="185"/>
      <c r="K124" s="185"/>
      <c r="L124" s="185"/>
    </row>
    <row r="125" spans="1:12">
      <c r="A125" s="185"/>
      <c r="B125" s="185"/>
      <c r="C125" s="185"/>
      <c r="D125" s="185"/>
      <c r="E125" s="185"/>
      <c r="F125" s="185"/>
      <c r="G125" s="185"/>
      <c r="H125" s="185"/>
      <c r="I125" s="185"/>
      <c r="J125" s="185"/>
      <c r="K125" s="185"/>
      <c r="L125" s="185"/>
    </row>
    <row r="126" spans="1:12">
      <c r="A126" s="185"/>
      <c r="B126" s="185"/>
      <c r="C126" s="185"/>
      <c r="D126" s="185"/>
      <c r="E126" s="185"/>
      <c r="F126" s="185"/>
      <c r="G126" s="185"/>
      <c r="H126" s="185"/>
      <c r="I126" s="185"/>
      <c r="J126" s="185"/>
      <c r="K126" s="185"/>
      <c r="L126" s="185"/>
    </row>
    <row r="127" spans="1:12">
      <c r="A127" s="185"/>
      <c r="B127" s="185"/>
      <c r="C127" s="185"/>
      <c r="D127" s="185"/>
      <c r="E127" s="185"/>
      <c r="F127" s="185"/>
      <c r="G127" s="185"/>
      <c r="H127" s="185"/>
      <c r="I127" s="185"/>
      <c r="J127" s="185"/>
      <c r="K127" s="185"/>
      <c r="L127" s="185"/>
    </row>
    <row r="128" spans="1:12">
      <c r="A128" s="185"/>
      <c r="B128" s="185"/>
      <c r="C128" s="185"/>
      <c r="D128" s="185"/>
      <c r="E128" s="185"/>
      <c r="F128" s="185"/>
      <c r="G128" s="185"/>
      <c r="H128" s="185"/>
      <c r="I128" s="185"/>
      <c r="J128" s="185"/>
      <c r="K128" s="185"/>
      <c r="L128" s="185"/>
    </row>
    <row r="129" spans="1:12">
      <c r="A129" s="185"/>
      <c r="B129" s="185"/>
      <c r="C129" s="185"/>
      <c r="D129" s="185"/>
      <c r="E129" s="185"/>
      <c r="F129" s="185"/>
      <c r="G129" s="185"/>
      <c r="H129" s="185"/>
      <c r="I129" s="185"/>
      <c r="J129" s="185"/>
      <c r="K129" s="185"/>
      <c r="L129" s="185"/>
    </row>
    <row r="130" spans="1:12">
      <c r="A130" s="185"/>
      <c r="B130" s="185"/>
      <c r="C130" s="185"/>
      <c r="D130" s="185"/>
      <c r="E130" s="185"/>
      <c r="F130" s="185"/>
      <c r="G130" s="185"/>
      <c r="H130" s="185"/>
      <c r="I130" s="185"/>
      <c r="J130" s="185"/>
      <c r="K130" s="185"/>
      <c r="L130" s="185"/>
    </row>
    <row r="131" spans="1:12">
      <c r="A131" s="185"/>
      <c r="B131" s="185"/>
      <c r="C131" s="185"/>
      <c r="D131" s="185"/>
      <c r="E131" s="185"/>
      <c r="F131" s="185"/>
      <c r="G131" s="185"/>
      <c r="H131" s="185"/>
      <c r="I131" s="185"/>
      <c r="J131" s="185"/>
      <c r="K131" s="185"/>
      <c r="L131" s="185"/>
    </row>
    <row r="132" spans="1:12">
      <c r="A132" s="185"/>
      <c r="B132" s="185"/>
      <c r="C132" s="185"/>
      <c r="D132" s="185"/>
      <c r="E132" s="185"/>
      <c r="F132" s="185"/>
      <c r="G132" s="185"/>
      <c r="H132" s="185"/>
      <c r="I132" s="185"/>
      <c r="J132" s="185"/>
      <c r="K132" s="185"/>
      <c r="L132" s="185"/>
    </row>
    <row r="133" spans="1:12">
      <c r="A133" s="185"/>
      <c r="B133" s="185"/>
      <c r="C133" s="185"/>
      <c r="D133" s="185"/>
      <c r="E133" s="185"/>
      <c r="F133" s="185"/>
      <c r="G133" s="185"/>
      <c r="H133" s="185"/>
      <c r="I133" s="185"/>
      <c r="J133" s="185"/>
      <c r="K133" s="185"/>
      <c r="L133" s="185"/>
    </row>
    <row r="134" spans="1:12">
      <c r="A134" s="185"/>
      <c r="B134" s="185"/>
      <c r="C134" s="185"/>
      <c r="D134" s="185"/>
      <c r="E134" s="185"/>
      <c r="F134" s="185"/>
      <c r="G134" s="185"/>
      <c r="H134" s="185"/>
      <c r="I134" s="185"/>
      <c r="J134" s="185"/>
      <c r="K134" s="185"/>
      <c r="L134" s="185"/>
    </row>
    <row r="135" spans="1:12">
      <c r="A135" s="185"/>
      <c r="B135" s="185"/>
      <c r="C135" s="185"/>
      <c r="D135" s="185"/>
      <c r="E135" s="185"/>
      <c r="F135" s="185"/>
      <c r="G135" s="185"/>
      <c r="H135" s="185"/>
      <c r="I135" s="185"/>
      <c r="J135" s="185"/>
      <c r="K135" s="185"/>
      <c r="L135" s="185"/>
    </row>
    <row r="136" spans="1:12">
      <c r="A136" s="185"/>
      <c r="B136" s="185"/>
      <c r="C136" s="185"/>
      <c r="D136" s="185"/>
      <c r="E136" s="185"/>
      <c r="F136" s="185"/>
      <c r="G136" s="185"/>
      <c r="H136" s="185"/>
      <c r="I136" s="185"/>
      <c r="J136" s="185"/>
      <c r="K136" s="185"/>
      <c r="L136" s="185"/>
    </row>
    <row r="137" spans="1:12">
      <c r="A137" s="185"/>
      <c r="B137" s="185"/>
      <c r="C137" s="185"/>
      <c r="D137" s="185"/>
      <c r="E137" s="185"/>
      <c r="F137" s="185"/>
      <c r="G137" s="185"/>
      <c r="H137" s="185"/>
      <c r="I137" s="185"/>
      <c r="J137" s="185"/>
      <c r="K137" s="185"/>
      <c r="L137" s="185"/>
    </row>
    <row r="138" spans="1:12">
      <c r="A138" s="185"/>
      <c r="B138" s="185"/>
      <c r="C138" s="185"/>
      <c r="D138" s="185"/>
      <c r="E138" s="185"/>
      <c r="F138" s="185"/>
      <c r="G138" s="185"/>
      <c r="H138" s="185"/>
      <c r="I138" s="185"/>
      <c r="J138" s="185"/>
      <c r="K138" s="185"/>
      <c r="L138" s="185"/>
    </row>
    <row r="139" spans="1:12">
      <c r="A139" s="185"/>
      <c r="B139" s="185"/>
      <c r="C139" s="185"/>
      <c r="D139" s="185"/>
      <c r="E139" s="185"/>
      <c r="F139" s="185"/>
      <c r="G139" s="185"/>
      <c r="H139" s="185"/>
      <c r="I139" s="185"/>
      <c r="J139" s="185"/>
      <c r="K139" s="185"/>
      <c r="L139" s="185"/>
    </row>
    <row r="140" spans="1:12">
      <c r="A140" s="185"/>
      <c r="B140" s="185"/>
      <c r="C140" s="185"/>
      <c r="D140" s="185"/>
      <c r="E140" s="185"/>
      <c r="F140" s="185"/>
      <c r="G140" s="185"/>
      <c r="H140" s="185"/>
      <c r="I140" s="185"/>
      <c r="J140" s="185"/>
      <c r="K140" s="185"/>
      <c r="L140" s="185"/>
    </row>
    <row r="141" spans="1:12">
      <c r="A141" s="185"/>
      <c r="B141" s="185"/>
      <c r="C141" s="185"/>
      <c r="D141" s="185"/>
      <c r="E141" s="185"/>
      <c r="F141" s="185"/>
      <c r="G141" s="185"/>
      <c r="H141" s="185"/>
      <c r="I141" s="185"/>
      <c r="J141" s="185"/>
      <c r="K141" s="185"/>
      <c r="L141" s="185"/>
    </row>
    <row r="142" spans="1:12">
      <c r="A142" s="185"/>
      <c r="B142" s="185"/>
      <c r="C142" s="185"/>
      <c r="D142" s="185"/>
      <c r="E142" s="185"/>
      <c r="F142" s="185"/>
      <c r="G142" s="185"/>
      <c r="H142" s="185"/>
      <c r="I142" s="185"/>
      <c r="J142" s="185"/>
      <c r="K142" s="185"/>
      <c r="L142" s="185"/>
    </row>
    <row r="143" spans="1:12">
      <c r="A143" s="185"/>
      <c r="B143" s="185"/>
      <c r="C143" s="185"/>
      <c r="D143" s="185"/>
      <c r="E143" s="185"/>
      <c r="F143" s="185"/>
      <c r="G143" s="185"/>
      <c r="H143" s="185"/>
      <c r="I143" s="185"/>
      <c r="J143" s="185"/>
      <c r="K143" s="185"/>
      <c r="L143" s="185"/>
    </row>
    <row r="144" spans="1:12">
      <c r="A144" s="185"/>
      <c r="B144" s="185"/>
      <c r="C144" s="185"/>
      <c r="D144" s="185"/>
      <c r="E144" s="185"/>
      <c r="F144" s="185"/>
      <c r="G144" s="185"/>
      <c r="H144" s="185"/>
      <c r="I144" s="185"/>
      <c r="J144" s="185"/>
      <c r="K144" s="185"/>
      <c r="L144" s="185"/>
    </row>
    <row r="145" spans="1:12">
      <c r="A145" s="185"/>
      <c r="B145" s="185"/>
      <c r="C145" s="185"/>
      <c r="D145" s="185"/>
      <c r="E145" s="185"/>
      <c r="F145" s="185"/>
      <c r="G145" s="185"/>
      <c r="H145" s="185"/>
      <c r="I145" s="185"/>
      <c r="J145" s="185"/>
      <c r="K145" s="185"/>
      <c r="L145" s="185"/>
    </row>
    <row r="146" spans="1:12">
      <c r="A146" s="185"/>
      <c r="B146" s="185"/>
      <c r="C146" s="185"/>
      <c r="D146" s="185"/>
      <c r="E146" s="185"/>
      <c r="F146" s="185"/>
      <c r="G146" s="185"/>
      <c r="H146" s="185"/>
      <c r="I146" s="185"/>
      <c r="J146" s="185"/>
      <c r="K146" s="185"/>
      <c r="L146" s="185"/>
    </row>
    <row r="147" spans="1:12">
      <c r="A147" s="185"/>
      <c r="B147" s="185"/>
      <c r="C147" s="185"/>
      <c r="D147" s="185"/>
      <c r="E147" s="185"/>
      <c r="F147" s="185"/>
      <c r="G147" s="185"/>
      <c r="H147" s="185"/>
      <c r="I147" s="185"/>
      <c r="J147" s="185"/>
      <c r="K147" s="185"/>
      <c r="L147" s="185"/>
    </row>
    <row r="148" spans="1:12">
      <c r="A148" s="185"/>
      <c r="B148" s="185"/>
      <c r="C148" s="185"/>
      <c r="D148" s="185"/>
      <c r="E148" s="185"/>
      <c r="F148" s="185"/>
      <c r="G148" s="185"/>
      <c r="H148" s="185"/>
      <c r="I148" s="185"/>
      <c r="J148" s="185"/>
      <c r="K148" s="185"/>
      <c r="L148" s="185"/>
    </row>
    <row r="149" spans="1:12">
      <c r="A149" s="185"/>
      <c r="B149" s="185"/>
      <c r="C149" s="185"/>
      <c r="D149" s="185"/>
      <c r="E149" s="185"/>
      <c r="F149" s="185"/>
      <c r="G149" s="185"/>
      <c r="H149" s="185"/>
      <c r="I149" s="185"/>
      <c r="J149" s="185"/>
      <c r="K149" s="185"/>
      <c r="L149" s="185"/>
    </row>
    <row r="150" spans="1:12">
      <c r="A150" s="185"/>
      <c r="B150" s="185"/>
      <c r="C150" s="185"/>
      <c r="D150" s="185"/>
      <c r="E150" s="185"/>
      <c r="F150" s="185"/>
      <c r="G150" s="185"/>
      <c r="H150" s="185"/>
      <c r="I150" s="185"/>
      <c r="J150" s="185"/>
      <c r="K150" s="185"/>
      <c r="L150" s="185"/>
    </row>
    <row r="151" spans="1:12">
      <c r="A151" s="185"/>
      <c r="B151" s="185"/>
      <c r="C151" s="185"/>
      <c r="D151" s="185"/>
      <c r="E151" s="185"/>
      <c r="F151" s="185"/>
      <c r="G151" s="185"/>
      <c r="H151" s="185"/>
      <c r="I151" s="185"/>
      <c r="J151" s="185"/>
      <c r="K151" s="185"/>
      <c r="L151" s="185"/>
    </row>
    <row r="152" spans="1:12">
      <c r="A152" s="185"/>
      <c r="B152" s="185"/>
      <c r="C152" s="185"/>
      <c r="D152" s="185"/>
      <c r="E152" s="185"/>
      <c r="F152" s="185"/>
      <c r="G152" s="185"/>
      <c r="H152" s="185"/>
      <c r="I152" s="185"/>
      <c r="J152" s="185"/>
      <c r="K152" s="185"/>
      <c r="L152" s="185"/>
    </row>
    <row r="153" spans="1:12">
      <c r="A153" s="185"/>
      <c r="B153" s="185"/>
      <c r="C153" s="185"/>
      <c r="D153" s="185"/>
      <c r="E153" s="185"/>
      <c r="F153" s="185"/>
      <c r="G153" s="185"/>
      <c r="H153" s="185"/>
      <c r="I153" s="185"/>
      <c r="J153" s="185"/>
      <c r="K153" s="185"/>
      <c r="L153" s="185"/>
    </row>
    <row r="154" spans="1:12">
      <c r="A154" s="185"/>
      <c r="B154" s="185"/>
      <c r="C154" s="185"/>
      <c r="D154" s="185"/>
      <c r="E154" s="185"/>
      <c r="F154" s="185"/>
      <c r="G154" s="185"/>
      <c r="H154" s="185"/>
      <c r="I154" s="185"/>
      <c r="J154" s="185"/>
      <c r="K154" s="185"/>
      <c r="L154" s="185"/>
    </row>
    <row r="155" spans="1:12">
      <c r="A155" s="185"/>
      <c r="B155" s="185"/>
      <c r="C155" s="185"/>
      <c r="D155" s="185"/>
      <c r="E155" s="185"/>
      <c r="F155" s="185"/>
      <c r="G155" s="185"/>
      <c r="H155" s="185"/>
      <c r="I155" s="185"/>
      <c r="J155" s="185"/>
      <c r="K155" s="185"/>
      <c r="L155" s="185"/>
    </row>
    <row r="156" spans="1:12">
      <c r="A156" s="185"/>
      <c r="B156" s="185"/>
      <c r="C156" s="185"/>
      <c r="D156" s="185"/>
      <c r="E156" s="185"/>
      <c r="F156" s="185"/>
      <c r="G156" s="185"/>
      <c r="H156" s="185"/>
      <c r="I156" s="185"/>
      <c r="J156" s="185"/>
      <c r="K156" s="185"/>
      <c r="L156" s="185"/>
    </row>
    <row r="157" spans="1:12">
      <c r="A157" s="185"/>
      <c r="B157" s="185"/>
      <c r="C157" s="185"/>
      <c r="D157" s="185"/>
      <c r="E157" s="185"/>
      <c r="F157" s="185"/>
      <c r="G157" s="185"/>
      <c r="H157" s="185"/>
      <c r="I157" s="185"/>
      <c r="J157" s="185"/>
      <c r="K157" s="185"/>
      <c r="L157" s="185"/>
    </row>
    <row r="158" spans="1:12">
      <c r="A158" s="185"/>
      <c r="B158" s="185"/>
      <c r="C158" s="185"/>
      <c r="D158" s="185"/>
      <c r="E158" s="185"/>
      <c r="F158" s="185"/>
      <c r="G158" s="185"/>
      <c r="H158" s="185"/>
      <c r="I158" s="185"/>
      <c r="J158" s="185"/>
      <c r="K158" s="185"/>
      <c r="L158" s="185"/>
    </row>
    <row r="159" spans="1:12">
      <c r="A159" s="185"/>
      <c r="B159" s="185"/>
      <c r="C159" s="185"/>
      <c r="D159" s="185"/>
      <c r="E159" s="185"/>
      <c r="F159" s="185"/>
      <c r="G159" s="185"/>
      <c r="H159" s="185"/>
      <c r="I159" s="185"/>
      <c r="J159" s="185"/>
      <c r="K159" s="185"/>
      <c r="L159" s="185"/>
    </row>
    <row r="160" spans="1:12">
      <c r="A160" s="185"/>
      <c r="B160" s="185"/>
      <c r="C160" s="185"/>
      <c r="D160" s="185"/>
      <c r="E160" s="185"/>
      <c r="F160" s="185"/>
      <c r="G160" s="185"/>
      <c r="H160" s="185"/>
      <c r="I160" s="185"/>
      <c r="J160" s="185"/>
      <c r="K160" s="185"/>
      <c r="L160" s="185"/>
    </row>
    <row r="161" spans="1:12">
      <c r="A161" s="185"/>
      <c r="B161" s="185"/>
      <c r="C161" s="185"/>
      <c r="D161" s="185"/>
      <c r="E161" s="185"/>
      <c r="F161" s="185"/>
      <c r="G161" s="185"/>
      <c r="H161" s="185"/>
      <c r="I161" s="185"/>
      <c r="J161" s="185"/>
      <c r="K161" s="185"/>
      <c r="L161" s="185"/>
    </row>
    <row r="162" spans="1:12">
      <c r="A162" s="185"/>
      <c r="B162" s="185"/>
      <c r="C162" s="185"/>
      <c r="D162" s="185"/>
      <c r="E162" s="185"/>
      <c r="F162" s="185"/>
      <c r="G162" s="185"/>
      <c r="H162" s="185"/>
      <c r="I162" s="185"/>
      <c r="J162" s="185"/>
      <c r="K162" s="185"/>
      <c r="L162" s="185"/>
    </row>
    <row r="163" spans="1:12">
      <c r="A163" s="185"/>
      <c r="B163" s="185"/>
      <c r="C163" s="185"/>
      <c r="D163" s="185"/>
      <c r="E163" s="185"/>
      <c r="F163" s="185"/>
      <c r="G163" s="185"/>
      <c r="H163" s="185"/>
      <c r="I163" s="185"/>
      <c r="J163" s="185"/>
      <c r="K163" s="185"/>
      <c r="L163" s="185"/>
    </row>
    <row r="164" spans="1:12">
      <c r="A164" s="185"/>
      <c r="B164" s="185"/>
      <c r="C164" s="185"/>
      <c r="D164" s="185"/>
      <c r="E164" s="185"/>
      <c r="F164" s="185"/>
      <c r="G164" s="185"/>
      <c r="H164" s="185"/>
      <c r="I164" s="185"/>
      <c r="J164" s="185"/>
      <c r="K164" s="185"/>
      <c r="L164" s="185"/>
    </row>
    <row r="165" spans="1:12">
      <c r="A165" s="185"/>
      <c r="B165" s="185"/>
      <c r="C165" s="185"/>
      <c r="D165" s="185"/>
      <c r="E165" s="185"/>
      <c r="F165" s="185"/>
      <c r="G165" s="185"/>
      <c r="H165" s="185"/>
      <c r="I165" s="185"/>
      <c r="J165" s="185"/>
      <c r="K165" s="185"/>
      <c r="L165" s="185"/>
    </row>
    <row r="166" spans="1:12">
      <c r="A166" s="185"/>
      <c r="B166" s="185"/>
      <c r="C166" s="185"/>
      <c r="D166" s="185"/>
      <c r="E166" s="185"/>
      <c r="F166" s="185"/>
      <c r="G166" s="185"/>
      <c r="H166" s="185"/>
      <c r="I166" s="185"/>
      <c r="J166" s="185"/>
      <c r="K166" s="185"/>
      <c r="L166" s="185"/>
    </row>
    <row r="167" spans="1:12">
      <c r="A167" s="185"/>
      <c r="B167" s="185"/>
      <c r="C167" s="185"/>
      <c r="D167" s="185"/>
      <c r="E167" s="185"/>
      <c r="F167" s="185"/>
      <c r="G167" s="185"/>
      <c r="H167" s="185"/>
      <c r="I167" s="185"/>
      <c r="J167" s="185"/>
      <c r="K167" s="185"/>
      <c r="L167" s="185"/>
    </row>
    <row r="168" spans="1:12">
      <c r="A168" s="185"/>
      <c r="B168" s="185"/>
      <c r="C168" s="185"/>
      <c r="D168" s="185"/>
      <c r="E168" s="185"/>
      <c r="F168" s="185"/>
      <c r="G168" s="185"/>
      <c r="H168" s="185"/>
      <c r="I168" s="185"/>
      <c r="J168" s="185"/>
      <c r="K168" s="185"/>
      <c r="L168" s="185"/>
    </row>
    <row r="169" spans="1:12">
      <c r="A169" s="185"/>
      <c r="B169" s="185"/>
      <c r="C169" s="185"/>
      <c r="D169" s="185"/>
      <c r="E169" s="185"/>
      <c r="F169" s="185"/>
      <c r="G169" s="185"/>
      <c r="H169" s="185"/>
      <c r="I169" s="185"/>
      <c r="J169" s="185"/>
      <c r="K169" s="185"/>
      <c r="L169" s="185"/>
    </row>
    <row r="170" spans="1:12">
      <c r="A170" s="185"/>
      <c r="B170" s="185"/>
      <c r="C170" s="185"/>
      <c r="D170" s="185"/>
      <c r="E170" s="185"/>
      <c r="F170" s="185"/>
      <c r="G170" s="185"/>
      <c r="H170" s="185"/>
      <c r="I170" s="185"/>
      <c r="J170" s="185"/>
      <c r="K170" s="185"/>
      <c r="L170" s="185"/>
    </row>
    <row r="171" spans="1:12">
      <c r="A171" s="185"/>
      <c r="B171" s="185"/>
      <c r="C171" s="185"/>
      <c r="D171" s="185"/>
      <c r="E171" s="185"/>
      <c r="F171" s="185"/>
      <c r="G171" s="185"/>
      <c r="H171" s="185"/>
      <c r="I171" s="185"/>
      <c r="J171" s="185"/>
      <c r="K171" s="185"/>
      <c r="L171" s="185"/>
    </row>
    <row r="172" spans="1:12">
      <c r="A172" s="185"/>
      <c r="B172" s="185"/>
      <c r="C172" s="185"/>
      <c r="D172" s="185"/>
      <c r="E172" s="185"/>
      <c r="F172" s="185"/>
      <c r="G172" s="185"/>
      <c r="H172" s="185"/>
      <c r="I172" s="185"/>
      <c r="J172" s="185"/>
      <c r="K172" s="185"/>
      <c r="L172" s="185"/>
    </row>
    <row r="173" spans="1:12">
      <c r="A173" s="185"/>
      <c r="B173" s="185"/>
      <c r="C173" s="185"/>
      <c r="D173" s="185"/>
      <c r="E173" s="185"/>
      <c r="F173" s="185"/>
      <c r="G173" s="185"/>
      <c r="H173" s="185"/>
      <c r="I173" s="185"/>
      <c r="J173" s="185"/>
      <c r="K173" s="185"/>
      <c r="L173" s="185"/>
    </row>
    <row r="174" spans="1:12">
      <c r="A174" s="185"/>
      <c r="B174" s="185"/>
      <c r="C174" s="185"/>
      <c r="D174" s="185"/>
      <c r="E174" s="185"/>
      <c r="F174" s="185"/>
      <c r="G174" s="185"/>
      <c r="H174" s="185"/>
      <c r="I174" s="185"/>
      <c r="J174" s="185"/>
      <c r="K174" s="185"/>
      <c r="L174" s="185"/>
    </row>
    <row r="175" spans="1:12">
      <c r="A175" s="185"/>
      <c r="B175" s="185"/>
      <c r="C175" s="185"/>
      <c r="D175" s="185"/>
      <c r="E175" s="185"/>
      <c r="F175" s="185"/>
      <c r="G175" s="185"/>
      <c r="H175" s="185"/>
      <c r="I175" s="185"/>
      <c r="J175" s="185"/>
      <c r="K175" s="185"/>
      <c r="L175" s="185"/>
    </row>
    <row r="176" spans="1:12">
      <c r="A176" s="185"/>
      <c r="B176" s="185"/>
      <c r="C176" s="185"/>
      <c r="D176" s="185"/>
      <c r="E176" s="185"/>
      <c r="F176" s="185"/>
      <c r="G176" s="185"/>
      <c r="H176" s="185"/>
      <c r="I176" s="185"/>
      <c r="J176" s="185"/>
      <c r="K176" s="185"/>
      <c r="L176" s="185"/>
    </row>
    <row r="177" spans="1:12">
      <c r="A177" s="185"/>
      <c r="B177" s="185"/>
      <c r="C177" s="185"/>
      <c r="D177" s="185"/>
      <c r="E177" s="185"/>
      <c r="F177" s="185"/>
      <c r="G177" s="185"/>
      <c r="H177" s="185"/>
      <c r="I177" s="185"/>
      <c r="J177" s="185"/>
      <c r="K177" s="185"/>
      <c r="L177" s="185"/>
    </row>
    <row r="178" spans="1:12">
      <c r="A178" s="185"/>
      <c r="B178" s="185"/>
      <c r="C178" s="185"/>
      <c r="D178" s="185"/>
      <c r="E178" s="185"/>
      <c r="F178" s="185"/>
      <c r="G178" s="185"/>
      <c r="H178" s="185"/>
      <c r="I178" s="185"/>
      <c r="J178" s="185"/>
      <c r="K178" s="185"/>
      <c r="L178" s="185"/>
    </row>
    <row r="179" spans="1:12">
      <c r="A179" s="185"/>
      <c r="B179" s="185"/>
      <c r="C179" s="185"/>
      <c r="D179" s="185"/>
      <c r="E179" s="185"/>
      <c r="F179" s="185"/>
      <c r="G179" s="185"/>
      <c r="H179" s="185"/>
      <c r="I179" s="185"/>
      <c r="J179" s="185"/>
      <c r="K179" s="185"/>
      <c r="L179" s="185"/>
    </row>
    <row r="180" spans="1:12">
      <c r="A180" s="185"/>
      <c r="B180" s="185"/>
      <c r="C180" s="185"/>
      <c r="D180" s="185"/>
      <c r="E180" s="185"/>
      <c r="F180" s="185"/>
      <c r="G180" s="185"/>
      <c r="H180" s="185"/>
      <c r="I180" s="185"/>
      <c r="J180" s="185"/>
      <c r="K180" s="185"/>
      <c r="L180" s="185"/>
    </row>
    <row r="181" spans="1:12">
      <c r="A181" s="185"/>
      <c r="B181" s="185"/>
      <c r="C181" s="185"/>
      <c r="D181" s="185"/>
      <c r="E181" s="185"/>
      <c r="F181" s="185"/>
      <c r="G181" s="185"/>
      <c r="H181" s="185"/>
      <c r="I181" s="185"/>
      <c r="J181" s="185"/>
      <c r="K181" s="185"/>
      <c r="L181" s="185"/>
    </row>
    <row r="182" spans="1:12">
      <c r="A182" s="185"/>
      <c r="B182" s="185"/>
      <c r="C182" s="185"/>
      <c r="D182" s="185"/>
      <c r="E182" s="185"/>
      <c r="F182" s="185"/>
      <c r="G182" s="185"/>
      <c r="H182" s="185"/>
      <c r="I182" s="185"/>
      <c r="J182" s="185"/>
      <c r="K182" s="185"/>
      <c r="L182" s="185"/>
    </row>
    <row r="183" spans="1:12">
      <c r="A183" s="185"/>
      <c r="B183" s="185"/>
      <c r="C183" s="185"/>
      <c r="D183" s="185"/>
      <c r="E183" s="185"/>
      <c r="F183" s="185"/>
      <c r="G183" s="185"/>
      <c r="H183" s="185"/>
      <c r="I183" s="185"/>
      <c r="J183" s="185"/>
      <c r="K183" s="185"/>
      <c r="L183" s="185"/>
    </row>
    <row r="184" spans="1:12">
      <c r="A184" s="185"/>
      <c r="B184" s="185"/>
      <c r="C184" s="185"/>
      <c r="D184" s="185"/>
      <c r="E184" s="185"/>
      <c r="F184" s="185"/>
      <c r="G184" s="185"/>
      <c r="H184" s="185"/>
      <c r="I184" s="185"/>
      <c r="J184" s="185"/>
      <c r="K184" s="185"/>
      <c r="L184" s="185"/>
    </row>
    <row r="185" spans="1:12">
      <c r="A185" s="185"/>
      <c r="B185" s="185"/>
      <c r="C185" s="185"/>
      <c r="D185" s="185"/>
      <c r="E185" s="185"/>
      <c r="F185" s="185"/>
      <c r="G185" s="185"/>
      <c r="H185" s="185"/>
      <c r="I185" s="185"/>
      <c r="J185" s="185"/>
      <c r="K185" s="185"/>
      <c r="L185" s="185"/>
    </row>
    <row r="186" spans="1:12">
      <c r="A186" s="185"/>
      <c r="B186" s="185"/>
      <c r="C186" s="185"/>
      <c r="D186" s="185"/>
      <c r="E186" s="185"/>
      <c r="F186" s="185"/>
      <c r="G186" s="185"/>
      <c r="H186" s="185"/>
      <c r="I186" s="185"/>
      <c r="J186" s="185"/>
      <c r="K186" s="185"/>
      <c r="L186" s="185"/>
    </row>
    <row r="187" spans="1:12">
      <c r="A187" s="185"/>
      <c r="B187" s="185"/>
      <c r="C187" s="185"/>
      <c r="D187" s="185"/>
      <c r="E187" s="185"/>
      <c r="F187" s="185"/>
      <c r="G187" s="185"/>
      <c r="H187" s="185"/>
      <c r="I187" s="185"/>
      <c r="J187" s="185"/>
      <c r="K187" s="185"/>
      <c r="L187" s="185"/>
    </row>
    <row r="188" spans="1:12">
      <c r="A188" s="185"/>
      <c r="B188" s="185"/>
      <c r="C188" s="185"/>
      <c r="D188" s="185"/>
      <c r="E188" s="185"/>
      <c r="F188" s="185"/>
      <c r="G188" s="185"/>
      <c r="H188" s="185"/>
      <c r="I188" s="185"/>
      <c r="J188" s="185"/>
      <c r="K188" s="185"/>
      <c r="L188" s="185"/>
    </row>
    <row r="189" spans="1:12">
      <c r="A189" s="185"/>
      <c r="B189" s="185"/>
      <c r="C189" s="185"/>
      <c r="D189" s="185"/>
      <c r="E189" s="185"/>
      <c r="F189" s="185"/>
      <c r="G189" s="185"/>
      <c r="H189" s="185"/>
      <c r="I189" s="185"/>
      <c r="J189" s="185"/>
      <c r="K189" s="185"/>
      <c r="L189" s="185"/>
    </row>
    <row r="190" spans="1:12">
      <c r="A190" s="185"/>
      <c r="B190" s="185"/>
      <c r="C190" s="185"/>
      <c r="D190" s="185"/>
      <c r="E190" s="185"/>
      <c r="F190" s="185"/>
      <c r="G190" s="185"/>
      <c r="H190" s="185"/>
      <c r="I190" s="185"/>
      <c r="J190" s="185"/>
      <c r="K190" s="185"/>
      <c r="L190" s="185"/>
    </row>
    <row r="191" spans="1:12">
      <c r="A191" s="185"/>
      <c r="B191" s="185"/>
      <c r="C191" s="185"/>
      <c r="D191" s="185"/>
      <c r="E191" s="185"/>
      <c r="F191" s="185"/>
      <c r="G191" s="185"/>
      <c r="H191" s="185"/>
      <c r="I191" s="185"/>
      <c r="J191" s="185"/>
      <c r="K191" s="185"/>
      <c r="L191" s="185"/>
    </row>
    <row r="192" spans="1:12">
      <c r="A192" s="185"/>
      <c r="B192" s="185"/>
      <c r="C192" s="185"/>
      <c r="D192" s="185"/>
      <c r="E192" s="185"/>
      <c r="F192" s="185"/>
      <c r="G192" s="185"/>
      <c r="H192" s="185"/>
      <c r="I192" s="185"/>
      <c r="J192" s="185"/>
      <c r="K192" s="185"/>
      <c r="L192" s="185"/>
    </row>
    <row r="193" spans="1:12">
      <c r="A193" s="185"/>
      <c r="B193" s="185"/>
      <c r="C193" s="185"/>
      <c r="D193" s="185"/>
      <c r="E193" s="185"/>
      <c r="F193" s="185"/>
      <c r="G193" s="185"/>
      <c r="H193" s="185"/>
      <c r="I193" s="185"/>
      <c r="J193" s="185"/>
      <c r="K193" s="185"/>
      <c r="L193" s="185"/>
    </row>
    <row r="194" spans="1:12">
      <c r="A194" s="185"/>
      <c r="B194" s="185"/>
      <c r="C194" s="185"/>
      <c r="D194" s="185"/>
      <c r="E194" s="185"/>
      <c r="F194" s="185"/>
      <c r="G194" s="185"/>
      <c r="H194" s="185"/>
      <c r="I194" s="185"/>
      <c r="J194" s="185"/>
      <c r="K194" s="185"/>
      <c r="L194" s="185"/>
    </row>
    <row r="195" spans="1:12">
      <c r="A195" s="185"/>
      <c r="B195" s="185"/>
      <c r="C195" s="185"/>
      <c r="D195" s="185"/>
      <c r="E195" s="185"/>
      <c r="F195" s="185"/>
      <c r="G195" s="185"/>
      <c r="H195" s="185"/>
      <c r="I195" s="185"/>
      <c r="J195" s="185"/>
      <c r="K195" s="185"/>
      <c r="L195" s="185"/>
    </row>
    <row r="196" spans="1:12">
      <c r="A196" s="185"/>
      <c r="B196" s="185"/>
      <c r="C196" s="185"/>
      <c r="D196" s="185"/>
      <c r="E196" s="185"/>
      <c r="F196" s="185"/>
      <c r="G196" s="185"/>
      <c r="H196" s="185"/>
      <c r="I196" s="185"/>
      <c r="J196" s="185"/>
      <c r="K196" s="185"/>
      <c r="L196" s="185"/>
    </row>
    <row r="197" spans="1:12">
      <c r="A197" s="185"/>
      <c r="B197" s="185"/>
      <c r="C197" s="185"/>
      <c r="D197" s="185"/>
      <c r="E197" s="185"/>
      <c r="F197" s="185"/>
      <c r="G197" s="185"/>
      <c r="H197" s="185"/>
      <c r="I197" s="185"/>
      <c r="J197" s="185"/>
      <c r="K197" s="185"/>
      <c r="L197" s="185"/>
    </row>
    <row r="198" spans="1:12">
      <c r="A198" s="185"/>
      <c r="B198" s="185"/>
      <c r="C198" s="185"/>
      <c r="D198" s="185"/>
      <c r="E198" s="185"/>
      <c r="F198" s="185"/>
      <c r="G198" s="185"/>
      <c r="H198" s="185"/>
      <c r="I198" s="185"/>
      <c r="J198" s="185"/>
      <c r="K198" s="185"/>
      <c r="L198" s="185"/>
    </row>
    <row r="199" spans="1:12">
      <c r="A199" s="185"/>
      <c r="B199" s="185"/>
      <c r="C199" s="185"/>
      <c r="D199" s="185"/>
      <c r="E199" s="185"/>
      <c r="F199" s="185"/>
      <c r="G199" s="185"/>
      <c r="H199" s="185"/>
      <c r="I199" s="185"/>
      <c r="J199" s="185"/>
      <c r="K199" s="185"/>
      <c r="L199" s="185"/>
    </row>
    <row r="200" spans="1:12">
      <c r="A200" s="185"/>
      <c r="B200" s="185"/>
      <c r="C200" s="185"/>
      <c r="D200" s="185"/>
      <c r="E200" s="185"/>
      <c r="F200" s="185"/>
      <c r="G200" s="185"/>
      <c r="H200" s="185"/>
      <c r="I200" s="185"/>
      <c r="J200" s="185"/>
      <c r="K200" s="185"/>
      <c r="L200" s="185"/>
    </row>
    <row r="201" spans="1:12">
      <c r="A201" s="185"/>
      <c r="B201" s="185"/>
      <c r="C201" s="185"/>
      <c r="D201" s="185"/>
      <c r="E201" s="185"/>
      <c r="F201" s="185"/>
      <c r="G201" s="185"/>
      <c r="H201" s="185"/>
      <c r="I201" s="185"/>
      <c r="J201" s="185"/>
      <c r="K201" s="185"/>
      <c r="L201" s="185"/>
    </row>
    <row r="202" spans="1:12">
      <c r="A202" s="185"/>
      <c r="B202" s="185"/>
      <c r="C202" s="185"/>
      <c r="D202" s="185"/>
      <c r="E202" s="185"/>
      <c r="F202" s="185"/>
      <c r="G202" s="185"/>
      <c r="H202" s="185"/>
      <c r="I202" s="185"/>
      <c r="J202" s="185"/>
      <c r="K202" s="185"/>
      <c r="L202" s="185"/>
    </row>
    <row r="203" spans="1:12">
      <c r="A203" s="185"/>
      <c r="B203" s="185"/>
      <c r="C203" s="185"/>
      <c r="D203" s="185"/>
      <c r="E203" s="185"/>
      <c r="F203" s="185"/>
      <c r="G203" s="185"/>
      <c r="H203" s="185"/>
      <c r="I203" s="185"/>
      <c r="J203" s="185"/>
      <c r="K203" s="185"/>
      <c r="L203" s="185"/>
    </row>
    <row r="204" spans="1:12">
      <c r="A204" s="185"/>
      <c r="B204" s="185"/>
      <c r="C204" s="185"/>
      <c r="D204" s="185"/>
      <c r="E204" s="185"/>
      <c r="F204" s="185"/>
      <c r="G204" s="185"/>
      <c r="H204" s="185"/>
      <c r="I204" s="185"/>
      <c r="J204" s="185"/>
      <c r="K204" s="185"/>
      <c r="L204" s="185"/>
    </row>
    <row r="205" spans="1:12">
      <c r="A205" s="185"/>
      <c r="B205" s="185"/>
      <c r="C205" s="185"/>
      <c r="D205" s="185"/>
      <c r="E205" s="185"/>
      <c r="F205" s="185"/>
      <c r="G205" s="185"/>
      <c r="H205" s="185"/>
      <c r="I205" s="185"/>
      <c r="J205" s="185"/>
      <c r="K205" s="185"/>
      <c r="L205" s="185"/>
    </row>
    <row r="206" spans="1:12">
      <c r="A206" s="185"/>
      <c r="B206" s="185"/>
      <c r="C206" s="185"/>
      <c r="D206" s="185"/>
      <c r="E206" s="185"/>
      <c r="F206" s="185"/>
      <c r="G206" s="185"/>
      <c r="H206" s="185"/>
      <c r="I206" s="185"/>
      <c r="J206" s="185"/>
      <c r="K206" s="185"/>
      <c r="L206" s="185"/>
    </row>
    <row r="207" spans="1:12">
      <c r="A207" s="185"/>
      <c r="B207" s="185"/>
      <c r="C207" s="185"/>
      <c r="D207" s="185"/>
      <c r="E207" s="185"/>
      <c r="F207" s="185"/>
      <c r="G207" s="185"/>
      <c r="H207" s="185"/>
      <c r="I207" s="185"/>
      <c r="J207" s="185"/>
      <c r="K207" s="185"/>
      <c r="L207" s="185"/>
    </row>
    <row r="208" spans="1:12">
      <c r="A208" s="185"/>
      <c r="B208" s="185"/>
      <c r="C208" s="185"/>
      <c r="D208" s="185"/>
      <c r="E208" s="185"/>
      <c r="F208" s="185"/>
      <c r="G208" s="185"/>
      <c r="H208" s="185"/>
      <c r="I208" s="185"/>
      <c r="J208" s="185"/>
      <c r="K208" s="185"/>
      <c r="L208" s="185"/>
    </row>
    <row r="209" spans="1:12">
      <c r="A209" s="185"/>
      <c r="B209" s="185"/>
      <c r="C209" s="185"/>
      <c r="D209" s="185"/>
      <c r="E209" s="185"/>
      <c r="F209" s="185"/>
      <c r="G209" s="185"/>
      <c r="H209" s="185"/>
      <c r="I209" s="185"/>
      <c r="J209" s="185"/>
      <c r="K209" s="185"/>
      <c r="L209" s="185"/>
    </row>
    <row r="210" spans="1:12">
      <c r="A210" s="185"/>
      <c r="B210" s="185"/>
      <c r="C210" s="185"/>
      <c r="D210" s="185"/>
      <c r="E210" s="185"/>
      <c r="F210" s="185"/>
      <c r="G210" s="185"/>
      <c r="H210" s="185"/>
      <c r="I210" s="185"/>
      <c r="J210" s="185"/>
      <c r="K210" s="185"/>
      <c r="L210" s="185"/>
    </row>
    <row r="211" spans="1:12">
      <c r="A211" s="185"/>
      <c r="B211" s="185"/>
      <c r="C211" s="185"/>
      <c r="D211" s="185"/>
      <c r="E211" s="185"/>
      <c r="F211" s="185"/>
      <c r="G211" s="185"/>
      <c r="H211" s="185"/>
      <c r="I211" s="185"/>
      <c r="J211" s="185"/>
      <c r="K211" s="185"/>
      <c r="L211" s="185"/>
    </row>
    <row r="212" spans="1:12">
      <c r="A212" s="185"/>
      <c r="B212" s="185"/>
      <c r="C212" s="185"/>
      <c r="D212" s="185"/>
      <c r="E212" s="185"/>
      <c r="F212" s="185"/>
      <c r="G212" s="185"/>
      <c r="H212" s="185"/>
      <c r="I212" s="185"/>
      <c r="J212" s="185"/>
      <c r="K212" s="185"/>
      <c r="L212" s="185"/>
    </row>
    <row r="213" spans="1:12">
      <c r="A213" s="185"/>
      <c r="B213" s="185"/>
      <c r="C213" s="185"/>
      <c r="D213" s="185"/>
      <c r="E213" s="185"/>
      <c r="F213" s="185"/>
      <c r="G213" s="185"/>
      <c r="H213" s="185"/>
      <c r="I213" s="185"/>
      <c r="J213" s="185"/>
      <c r="K213" s="185"/>
      <c r="L213" s="185"/>
    </row>
    <row r="214" spans="1:12">
      <c r="A214" s="185"/>
      <c r="B214" s="185"/>
      <c r="C214" s="185"/>
      <c r="D214" s="185"/>
      <c r="E214" s="185"/>
      <c r="F214" s="185"/>
      <c r="G214" s="185"/>
      <c r="H214" s="185"/>
      <c r="I214" s="185"/>
      <c r="J214" s="185"/>
      <c r="K214" s="185"/>
      <c r="L214" s="185"/>
    </row>
    <row r="215" spans="1:12">
      <c r="A215" s="185"/>
      <c r="B215" s="185"/>
      <c r="C215" s="185"/>
      <c r="D215" s="185"/>
      <c r="E215" s="185"/>
      <c r="F215" s="185"/>
      <c r="G215" s="185"/>
      <c r="H215" s="185"/>
      <c r="I215" s="185"/>
      <c r="J215" s="185"/>
      <c r="K215" s="185"/>
      <c r="L215" s="185"/>
    </row>
    <row r="216" spans="1:12">
      <c r="A216" s="185"/>
      <c r="B216" s="185"/>
      <c r="C216" s="185"/>
      <c r="D216" s="185"/>
      <c r="E216" s="185"/>
      <c r="F216" s="185"/>
      <c r="G216" s="185"/>
      <c r="H216" s="185"/>
      <c r="I216" s="185"/>
      <c r="J216" s="185"/>
      <c r="K216" s="185"/>
      <c r="L216" s="185"/>
    </row>
    <row r="217" spans="1:12">
      <c r="A217" s="185"/>
      <c r="B217" s="185"/>
      <c r="C217" s="185"/>
      <c r="D217" s="185"/>
      <c r="E217" s="185"/>
      <c r="F217" s="185"/>
      <c r="G217" s="185"/>
      <c r="H217" s="185"/>
      <c r="I217" s="185"/>
      <c r="J217" s="185"/>
      <c r="K217" s="185"/>
      <c r="L217" s="185"/>
    </row>
    <row r="218" spans="1:12">
      <c r="A218" s="185"/>
      <c r="B218" s="185"/>
      <c r="C218" s="185"/>
      <c r="D218" s="185"/>
      <c r="E218" s="185"/>
      <c r="F218" s="185"/>
      <c r="G218" s="185"/>
      <c r="H218" s="185"/>
      <c r="I218" s="185"/>
      <c r="J218" s="185"/>
      <c r="K218" s="185"/>
      <c r="L218" s="185"/>
    </row>
    <row r="219" spans="1:12">
      <c r="A219" s="185"/>
      <c r="B219" s="185"/>
      <c r="C219" s="185"/>
      <c r="D219" s="185"/>
      <c r="E219" s="185"/>
      <c r="F219" s="185"/>
      <c r="G219" s="185"/>
      <c r="H219" s="185"/>
      <c r="I219" s="185"/>
      <c r="J219" s="185"/>
      <c r="K219" s="185"/>
      <c r="L219" s="185"/>
    </row>
    <row r="220" spans="1:12">
      <c r="A220" s="185"/>
      <c r="B220" s="185"/>
      <c r="C220" s="185"/>
      <c r="D220" s="185"/>
      <c r="E220" s="185"/>
      <c r="F220" s="185"/>
      <c r="G220" s="185"/>
      <c r="H220" s="185"/>
      <c r="I220" s="185"/>
      <c r="J220" s="185"/>
      <c r="K220" s="185"/>
      <c r="L220" s="185"/>
    </row>
    <row r="221" spans="1:12">
      <c r="A221" s="185"/>
      <c r="B221" s="185"/>
      <c r="C221" s="185"/>
      <c r="D221" s="185"/>
      <c r="E221" s="185"/>
      <c r="F221" s="185"/>
      <c r="G221" s="185"/>
      <c r="H221" s="185"/>
      <c r="I221" s="185"/>
      <c r="J221" s="185"/>
      <c r="K221" s="185"/>
      <c r="L221" s="185"/>
    </row>
    <row r="222" spans="1:12">
      <c r="A222" s="185"/>
      <c r="B222" s="185"/>
      <c r="C222" s="185"/>
      <c r="D222" s="185"/>
      <c r="E222" s="185"/>
      <c r="F222" s="185"/>
      <c r="G222" s="185"/>
      <c r="H222" s="185"/>
      <c r="I222" s="185"/>
      <c r="J222" s="185"/>
      <c r="K222" s="185"/>
      <c r="L222" s="185"/>
    </row>
    <row r="223" spans="1:12">
      <c r="A223" s="185"/>
      <c r="B223" s="185"/>
      <c r="C223" s="185"/>
      <c r="D223" s="185"/>
      <c r="E223" s="185"/>
      <c r="F223" s="185"/>
      <c r="G223" s="185"/>
      <c r="H223" s="185"/>
      <c r="I223" s="185"/>
      <c r="J223" s="185"/>
      <c r="K223" s="185"/>
      <c r="L223" s="185"/>
    </row>
    <row r="224" spans="1:12">
      <c r="A224" s="185"/>
      <c r="B224" s="185"/>
      <c r="C224" s="185"/>
      <c r="D224" s="185"/>
      <c r="E224" s="185"/>
      <c r="F224" s="185"/>
      <c r="G224" s="185"/>
      <c r="H224" s="185"/>
      <c r="I224" s="185"/>
      <c r="J224" s="185"/>
      <c r="K224" s="185"/>
      <c r="L224" s="185"/>
    </row>
    <row r="225" spans="1:12">
      <c r="A225" s="185"/>
      <c r="B225" s="185"/>
      <c r="C225" s="185"/>
      <c r="D225" s="185"/>
      <c r="E225" s="185"/>
      <c r="F225" s="185"/>
      <c r="G225" s="185"/>
      <c r="H225" s="185"/>
      <c r="I225" s="185"/>
      <c r="J225" s="185"/>
      <c r="K225" s="185"/>
      <c r="L225" s="185"/>
    </row>
    <row r="226" spans="1:12">
      <c r="A226" s="185"/>
      <c r="B226" s="185"/>
      <c r="C226" s="185"/>
      <c r="D226" s="185"/>
      <c r="E226" s="185"/>
      <c r="F226" s="185"/>
      <c r="G226" s="185"/>
      <c r="H226" s="185"/>
      <c r="I226" s="185"/>
      <c r="J226" s="185"/>
      <c r="K226" s="185"/>
      <c r="L226" s="185"/>
    </row>
    <row r="227" spans="1:12">
      <c r="A227" s="185"/>
      <c r="B227" s="185"/>
      <c r="C227" s="185"/>
      <c r="D227" s="185"/>
      <c r="E227" s="185"/>
      <c r="F227" s="185"/>
      <c r="G227" s="185"/>
      <c r="H227" s="185"/>
      <c r="I227" s="185"/>
      <c r="J227" s="185"/>
      <c r="K227" s="185"/>
      <c r="L227" s="185"/>
    </row>
    <row r="228" spans="1:12">
      <c r="A228" s="185"/>
      <c r="B228" s="185"/>
      <c r="C228" s="185"/>
      <c r="D228" s="185"/>
      <c r="E228" s="185"/>
      <c r="F228" s="185"/>
      <c r="G228" s="185"/>
      <c r="H228" s="185"/>
      <c r="I228" s="185"/>
      <c r="J228" s="185"/>
      <c r="K228" s="185"/>
      <c r="L228" s="185"/>
    </row>
    <row r="229" spans="1:12">
      <c r="A229" s="185"/>
      <c r="B229" s="185"/>
      <c r="C229" s="185"/>
      <c r="D229" s="185"/>
      <c r="E229" s="185"/>
      <c r="F229" s="185"/>
      <c r="G229" s="185"/>
      <c r="H229" s="185"/>
      <c r="I229" s="185"/>
      <c r="J229" s="185"/>
      <c r="K229" s="185"/>
      <c r="L229" s="185"/>
    </row>
    <row r="230" spans="1:12">
      <c r="A230" s="185"/>
      <c r="B230" s="185"/>
      <c r="C230" s="185"/>
      <c r="D230" s="185"/>
      <c r="E230" s="185"/>
      <c r="F230" s="185"/>
      <c r="G230" s="185"/>
      <c r="H230" s="185"/>
      <c r="I230" s="185"/>
      <c r="J230" s="185"/>
      <c r="K230" s="185"/>
      <c r="L230" s="185"/>
    </row>
    <row r="231" spans="1:12">
      <c r="A231" s="185"/>
      <c r="B231" s="185"/>
      <c r="C231" s="185"/>
      <c r="D231" s="185"/>
      <c r="E231" s="185"/>
      <c r="F231" s="185"/>
      <c r="G231" s="185"/>
      <c r="H231" s="185"/>
      <c r="I231" s="185"/>
      <c r="J231" s="185"/>
      <c r="K231" s="185"/>
      <c r="L231" s="185"/>
    </row>
    <row r="232" spans="1:12">
      <c r="A232" s="185"/>
      <c r="B232" s="185"/>
      <c r="C232" s="185"/>
      <c r="D232" s="185"/>
      <c r="E232" s="185"/>
      <c r="F232" s="185"/>
      <c r="G232" s="185"/>
      <c r="H232" s="185"/>
      <c r="I232" s="185"/>
      <c r="J232" s="185"/>
      <c r="K232" s="185"/>
      <c r="L232" s="185"/>
    </row>
    <row r="233" spans="1:12">
      <c r="A233" s="185"/>
      <c r="B233" s="185"/>
      <c r="C233" s="185"/>
      <c r="D233" s="185"/>
      <c r="E233" s="185"/>
      <c r="F233" s="185"/>
      <c r="G233" s="185"/>
      <c r="H233" s="185"/>
      <c r="I233" s="185"/>
      <c r="J233" s="185"/>
      <c r="K233" s="185"/>
      <c r="L233" s="185"/>
    </row>
    <row r="234" spans="1:12">
      <c r="A234" s="185"/>
      <c r="B234" s="185"/>
      <c r="C234" s="185"/>
      <c r="D234" s="185"/>
      <c r="E234" s="185"/>
      <c r="F234" s="185"/>
      <c r="G234" s="185"/>
      <c r="H234" s="185"/>
      <c r="I234" s="185"/>
      <c r="J234" s="185"/>
      <c r="K234" s="185"/>
      <c r="L234" s="185"/>
    </row>
    <row r="235" spans="1:12">
      <c r="A235" s="185"/>
      <c r="B235" s="185"/>
      <c r="C235" s="185"/>
      <c r="D235" s="185"/>
      <c r="E235" s="185"/>
      <c r="F235" s="185"/>
      <c r="G235" s="185"/>
      <c r="H235" s="185"/>
      <c r="I235" s="185"/>
      <c r="J235" s="185"/>
      <c r="K235" s="185"/>
      <c r="L235" s="185"/>
    </row>
    <row r="236" spans="1:12">
      <c r="A236" s="185"/>
      <c r="B236" s="185"/>
      <c r="C236" s="185"/>
      <c r="D236" s="185"/>
      <c r="E236" s="185"/>
      <c r="F236" s="185"/>
      <c r="G236" s="185"/>
      <c r="H236" s="185"/>
      <c r="I236" s="185"/>
      <c r="J236" s="185"/>
      <c r="K236" s="185"/>
      <c r="L236" s="185"/>
    </row>
    <row r="237" spans="1:12">
      <c r="A237" s="185"/>
      <c r="B237" s="185"/>
      <c r="C237" s="185"/>
      <c r="D237" s="185"/>
      <c r="E237" s="185"/>
      <c r="F237" s="185"/>
      <c r="G237" s="185"/>
      <c r="H237" s="185"/>
      <c r="I237" s="185"/>
      <c r="J237" s="185"/>
      <c r="K237" s="185"/>
      <c r="L237" s="185"/>
    </row>
    <row r="238" spans="1:12">
      <c r="A238" s="185"/>
      <c r="B238" s="185"/>
      <c r="C238" s="185"/>
      <c r="D238" s="185"/>
      <c r="E238" s="185"/>
      <c r="F238" s="185"/>
      <c r="G238" s="185"/>
      <c r="H238" s="185"/>
      <c r="I238" s="185"/>
      <c r="J238" s="185"/>
      <c r="K238" s="185"/>
      <c r="L238" s="185"/>
    </row>
    <row r="239" spans="1:12">
      <c r="A239" s="185"/>
      <c r="B239" s="185"/>
      <c r="C239" s="185"/>
      <c r="D239" s="185"/>
      <c r="E239" s="185"/>
      <c r="F239" s="185"/>
      <c r="G239" s="185"/>
      <c r="H239" s="185"/>
      <c r="I239" s="185"/>
      <c r="J239" s="185"/>
      <c r="K239" s="185"/>
      <c r="L239" s="185"/>
    </row>
    <row r="240" spans="1:12">
      <c r="A240" s="185"/>
      <c r="B240" s="185"/>
      <c r="C240" s="185"/>
      <c r="D240" s="185"/>
      <c r="E240" s="185"/>
      <c r="F240" s="185"/>
      <c r="G240" s="185"/>
      <c r="H240" s="185"/>
      <c r="I240" s="185"/>
      <c r="J240" s="185"/>
      <c r="K240" s="185"/>
      <c r="L240" s="185"/>
    </row>
    <row r="241" spans="1:12">
      <c r="A241" s="185"/>
      <c r="B241" s="185"/>
      <c r="C241" s="185"/>
      <c r="D241" s="185"/>
      <c r="E241" s="185"/>
      <c r="F241" s="185"/>
      <c r="G241" s="185"/>
      <c r="H241" s="185"/>
      <c r="I241" s="185"/>
      <c r="J241" s="185"/>
      <c r="K241" s="185"/>
      <c r="L241" s="185"/>
    </row>
    <row r="242" spans="1:12">
      <c r="A242" s="185"/>
      <c r="B242" s="185"/>
      <c r="C242" s="185"/>
      <c r="D242" s="185"/>
      <c r="E242" s="185"/>
      <c r="F242" s="185"/>
      <c r="G242" s="185"/>
      <c r="H242" s="185"/>
      <c r="I242" s="185"/>
      <c r="J242" s="185"/>
      <c r="K242" s="185"/>
      <c r="L242" s="185"/>
    </row>
    <row r="243" spans="1:12">
      <c r="A243" s="185"/>
      <c r="B243" s="185"/>
      <c r="C243" s="185"/>
      <c r="D243" s="185"/>
      <c r="E243" s="185"/>
      <c r="F243" s="185"/>
      <c r="G243" s="185"/>
      <c r="H243" s="185"/>
      <c r="I243" s="185"/>
      <c r="J243" s="185"/>
      <c r="K243" s="185"/>
      <c r="L243" s="185"/>
    </row>
    <row r="244" spans="1:12">
      <c r="A244" s="185"/>
      <c r="B244" s="185"/>
      <c r="C244" s="185"/>
      <c r="D244" s="185"/>
      <c r="E244" s="185"/>
      <c r="F244" s="185"/>
      <c r="G244" s="185"/>
      <c r="H244" s="185"/>
      <c r="I244" s="185"/>
      <c r="J244" s="185"/>
      <c r="K244" s="185"/>
      <c r="L244" s="185"/>
    </row>
    <row r="245" spans="1:12">
      <c r="A245" s="185"/>
      <c r="B245" s="185"/>
      <c r="C245" s="185"/>
      <c r="D245" s="185"/>
      <c r="E245" s="185"/>
      <c r="F245" s="185"/>
      <c r="G245" s="185"/>
      <c r="H245" s="185"/>
      <c r="I245" s="185"/>
      <c r="J245" s="185"/>
      <c r="K245" s="185"/>
      <c r="L245" s="185"/>
    </row>
    <row r="246" spans="1:12">
      <c r="A246" s="185"/>
      <c r="B246" s="185"/>
      <c r="C246" s="185"/>
      <c r="D246" s="185"/>
      <c r="E246" s="185"/>
      <c r="F246" s="185"/>
      <c r="G246" s="185"/>
      <c r="H246" s="185"/>
      <c r="I246" s="185"/>
      <c r="J246" s="185"/>
      <c r="K246" s="185"/>
      <c r="L246" s="185"/>
    </row>
    <row r="247" spans="1:12">
      <c r="A247" s="185"/>
      <c r="B247" s="185"/>
      <c r="C247" s="185"/>
      <c r="D247" s="185"/>
      <c r="E247" s="185"/>
      <c r="F247" s="185"/>
      <c r="G247" s="185"/>
      <c r="H247" s="185"/>
      <c r="I247" s="185"/>
      <c r="J247" s="185"/>
      <c r="K247" s="185"/>
      <c r="L247" s="185"/>
    </row>
    <row r="248" spans="1:12">
      <c r="A248" s="185"/>
      <c r="B248" s="185"/>
      <c r="C248" s="185"/>
      <c r="D248" s="185"/>
      <c r="E248" s="185"/>
      <c r="F248" s="185"/>
      <c r="G248" s="185"/>
      <c r="H248" s="185"/>
      <c r="I248" s="185"/>
      <c r="J248" s="185"/>
      <c r="K248" s="185"/>
      <c r="L248" s="185"/>
    </row>
    <row r="249" spans="1:12">
      <c r="A249" s="185"/>
      <c r="B249" s="185"/>
      <c r="C249" s="185"/>
      <c r="D249" s="185"/>
      <c r="E249" s="185"/>
      <c r="F249" s="185"/>
      <c r="G249" s="185"/>
      <c r="H249" s="185"/>
      <c r="I249" s="185"/>
      <c r="J249" s="185"/>
      <c r="K249" s="185"/>
      <c r="L249" s="185"/>
    </row>
    <row r="250" spans="1:12">
      <c r="A250" s="185"/>
      <c r="B250" s="185"/>
      <c r="C250" s="185"/>
      <c r="D250" s="185"/>
      <c r="E250" s="185"/>
      <c r="F250" s="185"/>
      <c r="G250" s="185"/>
      <c r="H250" s="185"/>
      <c r="I250" s="185"/>
      <c r="J250" s="185"/>
      <c r="K250" s="185"/>
      <c r="L250" s="185"/>
    </row>
    <row r="251" spans="1:12">
      <c r="A251" s="185"/>
      <c r="B251" s="185"/>
      <c r="C251" s="185"/>
      <c r="D251" s="185"/>
      <c r="E251" s="185"/>
      <c r="F251" s="185"/>
      <c r="G251" s="185"/>
      <c r="H251" s="185"/>
      <c r="I251" s="185"/>
      <c r="J251" s="185"/>
      <c r="K251" s="185"/>
      <c r="L251" s="185"/>
    </row>
    <row r="252" spans="1:12">
      <c r="A252" s="185"/>
      <c r="B252" s="185"/>
      <c r="C252" s="185"/>
      <c r="D252" s="185"/>
      <c r="E252" s="185"/>
      <c r="F252" s="185"/>
      <c r="G252" s="185"/>
      <c r="H252" s="185"/>
      <c r="I252" s="185"/>
      <c r="J252" s="185"/>
      <c r="K252" s="185"/>
      <c r="L252" s="185"/>
    </row>
    <row r="253" spans="1:12">
      <c r="A253" s="185"/>
      <c r="B253" s="185"/>
      <c r="C253" s="185"/>
      <c r="D253" s="185"/>
      <c r="E253" s="185"/>
      <c r="F253" s="185"/>
      <c r="G253" s="185"/>
      <c r="H253" s="185"/>
      <c r="I253" s="185"/>
      <c r="J253" s="185"/>
      <c r="K253" s="185"/>
      <c r="L253" s="185"/>
    </row>
    <row r="254" spans="1:12">
      <c r="A254" s="185"/>
      <c r="B254" s="185"/>
      <c r="C254" s="185"/>
      <c r="D254" s="185"/>
      <c r="E254" s="185"/>
      <c r="F254" s="185"/>
      <c r="G254" s="185"/>
      <c r="H254" s="185"/>
      <c r="I254" s="185"/>
      <c r="J254" s="185"/>
      <c r="K254" s="185"/>
      <c r="L254" s="185"/>
    </row>
    <row r="255" spans="1:12">
      <c r="A255" s="185"/>
      <c r="B255" s="185"/>
      <c r="C255" s="185"/>
      <c r="D255" s="185"/>
      <c r="E255" s="185"/>
      <c r="F255" s="185"/>
      <c r="G255" s="185"/>
      <c r="H255" s="185"/>
      <c r="I255" s="185"/>
      <c r="J255" s="185"/>
      <c r="K255" s="185"/>
      <c r="L255" s="185"/>
    </row>
    <row r="256" spans="1:12">
      <c r="A256" s="185"/>
      <c r="B256" s="185"/>
      <c r="C256" s="185"/>
      <c r="D256" s="185"/>
      <c r="E256" s="185"/>
      <c r="F256" s="185"/>
      <c r="G256" s="185"/>
      <c r="H256" s="185"/>
      <c r="I256" s="185"/>
      <c r="J256" s="185"/>
      <c r="K256" s="185"/>
      <c r="L256" s="185"/>
    </row>
    <row r="257" spans="1:12">
      <c r="A257" s="185"/>
      <c r="B257" s="185"/>
      <c r="C257" s="185"/>
      <c r="D257" s="185"/>
      <c r="E257" s="185"/>
      <c r="F257" s="185"/>
      <c r="G257" s="185"/>
      <c r="H257" s="185"/>
      <c r="I257" s="185"/>
      <c r="J257" s="185"/>
      <c r="K257" s="185"/>
      <c r="L257" s="185"/>
    </row>
    <row r="258" spans="1:12">
      <c r="A258" s="185"/>
      <c r="B258" s="185"/>
      <c r="C258" s="185"/>
      <c r="D258" s="185"/>
      <c r="E258" s="185"/>
      <c r="F258" s="185"/>
      <c r="G258" s="185"/>
      <c r="H258" s="185"/>
      <c r="I258" s="185"/>
      <c r="J258" s="185"/>
      <c r="K258" s="185"/>
      <c r="L258" s="185"/>
    </row>
    <row r="259" spans="1:12">
      <c r="A259" s="185"/>
      <c r="B259" s="185"/>
      <c r="C259" s="185"/>
      <c r="D259" s="185"/>
      <c r="E259" s="185"/>
      <c r="F259" s="185"/>
      <c r="G259" s="185"/>
      <c r="H259" s="185"/>
      <c r="I259" s="185"/>
      <c r="J259" s="185"/>
      <c r="K259" s="185"/>
      <c r="L259" s="185"/>
    </row>
    <row r="260" spans="1:12">
      <c r="A260" s="185"/>
      <c r="B260" s="185"/>
      <c r="C260" s="185"/>
      <c r="D260" s="185"/>
      <c r="E260" s="185"/>
      <c r="F260" s="185"/>
      <c r="G260" s="185"/>
      <c r="H260" s="185"/>
      <c r="I260" s="185"/>
      <c r="J260" s="185"/>
      <c r="K260" s="185"/>
      <c r="L260" s="185"/>
    </row>
    <row r="261" spans="1:12">
      <c r="A261" s="185"/>
      <c r="B261" s="185"/>
      <c r="C261" s="185"/>
      <c r="D261" s="185"/>
      <c r="E261" s="185"/>
      <c r="F261" s="185"/>
      <c r="G261" s="185"/>
      <c r="H261" s="185"/>
      <c r="I261" s="185"/>
      <c r="J261" s="185"/>
      <c r="K261" s="185"/>
      <c r="L261" s="185"/>
    </row>
    <row r="262" spans="1:12">
      <c r="A262" s="185"/>
      <c r="B262" s="185"/>
      <c r="C262" s="185"/>
      <c r="D262" s="185"/>
      <c r="E262" s="185"/>
      <c r="F262" s="185"/>
      <c r="G262" s="185"/>
      <c r="H262" s="185"/>
      <c r="I262" s="185"/>
      <c r="J262" s="185"/>
      <c r="K262" s="185"/>
      <c r="L262" s="185"/>
    </row>
    <row r="263" spans="1:12">
      <c r="A263" s="185"/>
      <c r="B263" s="185"/>
      <c r="C263" s="185"/>
      <c r="D263" s="185"/>
      <c r="E263" s="185"/>
      <c r="F263" s="185"/>
      <c r="G263" s="185"/>
      <c r="H263" s="185"/>
      <c r="I263" s="185"/>
      <c r="J263" s="185"/>
      <c r="K263" s="185"/>
      <c r="L263" s="185"/>
    </row>
    <row r="264" spans="1:12">
      <c r="A264" s="185"/>
      <c r="B264" s="185"/>
      <c r="C264" s="185"/>
      <c r="D264" s="185"/>
      <c r="E264" s="185"/>
      <c r="F264" s="185"/>
      <c r="G264" s="185"/>
      <c r="H264" s="185"/>
      <c r="I264" s="185"/>
      <c r="J264" s="185"/>
      <c r="K264" s="185"/>
      <c r="L264" s="185"/>
    </row>
    <row r="265" spans="1:12">
      <c r="A265" s="185"/>
      <c r="B265" s="185"/>
      <c r="C265" s="185"/>
      <c r="D265" s="185"/>
      <c r="E265" s="185"/>
      <c r="F265" s="185"/>
      <c r="G265" s="185"/>
      <c r="H265" s="185"/>
      <c r="I265" s="185"/>
      <c r="J265" s="185"/>
      <c r="K265" s="185"/>
      <c r="L265" s="185"/>
    </row>
    <row r="266" spans="1:12">
      <c r="A266" s="185"/>
      <c r="B266" s="185"/>
      <c r="C266" s="185"/>
      <c r="D266" s="185"/>
      <c r="E266" s="185"/>
      <c r="F266" s="185"/>
      <c r="G266" s="185"/>
      <c r="H266" s="185"/>
      <c r="I266" s="185"/>
      <c r="J266" s="185"/>
      <c r="K266" s="185"/>
      <c r="L266" s="185"/>
    </row>
    <row r="267" spans="1:12">
      <c r="A267" s="185"/>
      <c r="B267" s="185"/>
      <c r="C267" s="185"/>
      <c r="D267" s="185"/>
      <c r="E267" s="185"/>
      <c r="F267" s="185"/>
      <c r="G267" s="185"/>
      <c r="H267" s="185"/>
      <c r="I267" s="185"/>
      <c r="J267" s="185"/>
      <c r="K267" s="185"/>
      <c r="L267" s="185"/>
    </row>
    <row r="268" spans="1:12">
      <c r="A268" s="185"/>
      <c r="B268" s="185"/>
      <c r="C268" s="185"/>
      <c r="D268" s="185"/>
      <c r="E268" s="185"/>
      <c r="F268" s="185"/>
      <c r="G268" s="185"/>
      <c r="H268" s="185"/>
      <c r="I268" s="185"/>
      <c r="J268" s="185"/>
      <c r="K268" s="185"/>
      <c r="L268" s="185"/>
    </row>
    <row r="269" spans="1:12">
      <c r="A269" s="185"/>
      <c r="B269" s="185"/>
      <c r="C269" s="185"/>
      <c r="D269" s="185"/>
      <c r="E269" s="185"/>
      <c r="F269" s="185"/>
      <c r="G269" s="185"/>
      <c r="H269" s="185"/>
      <c r="I269" s="185"/>
      <c r="J269" s="185"/>
      <c r="K269" s="185"/>
      <c r="L269" s="185"/>
    </row>
    <row r="270" spans="1:12">
      <c r="A270" s="185"/>
      <c r="B270" s="185"/>
      <c r="C270" s="185"/>
      <c r="D270" s="185"/>
      <c r="E270" s="185"/>
      <c r="F270" s="185"/>
      <c r="G270" s="185"/>
      <c r="H270" s="185"/>
      <c r="I270" s="185"/>
      <c r="J270" s="185"/>
      <c r="K270" s="185"/>
      <c r="L270" s="185"/>
    </row>
    <row r="271" spans="1:12">
      <c r="A271" s="185"/>
      <c r="B271" s="185"/>
      <c r="C271" s="185"/>
      <c r="D271" s="185"/>
      <c r="E271" s="185"/>
      <c r="F271" s="185"/>
      <c r="G271" s="185"/>
      <c r="H271" s="185"/>
      <c r="I271" s="185"/>
      <c r="J271" s="185"/>
      <c r="K271" s="185"/>
      <c r="L271" s="185"/>
    </row>
    <row r="272" spans="1:12">
      <c r="A272" s="185"/>
      <c r="B272" s="185"/>
      <c r="C272" s="185"/>
      <c r="D272" s="185"/>
      <c r="E272" s="185"/>
      <c r="F272" s="185"/>
      <c r="G272" s="185"/>
      <c r="H272" s="185"/>
      <c r="I272" s="185"/>
      <c r="J272" s="185"/>
      <c r="K272" s="185"/>
      <c r="L272" s="185"/>
    </row>
    <row r="273" spans="1:12">
      <c r="A273" s="185"/>
      <c r="B273" s="185"/>
      <c r="C273" s="185"/>
      <c r="D273" s="185"/>
      <c r="E273" s="185"/>
      <c r="F273" s="185"/>
      <c r="G273" s="185"/>
      <c r="H273" s="185"/>
      <c r="I273" s="185"/>
      <c r="J273" s="185"/>
      <c r="K273" s="185"/>
      <c r="L273" s="185"/>
    </row>
    <row r="274" spans="1:12">
      <c r="A274" s="185"/>
      <c r="B274" s="185"/>
      <c r="C274" s="185"/>
      <c r="D274" s="185"/>
      <c r="E274" s="185"/>
      <c r="F274" s="185"/>
      <c r="G274" s="185"/>
      <c r="H274" s="185"/>
      <c r="I274" s="185"/>
      <c r="J274" s="185"/>
      <c r="K274" s="185"/>
      <c r="L274" s="185"/>
    </row>
    <row r="275" spans="1:12">
      <c r="A275" s="185"/>
      <c r="B275" s="185"/>
      <c r="C275" s="185"/>
      <c r="D275" s="185"/>
      <c r="E275" s="185"/>
      <c r="F275" s="185"/>
      <c r="G275" s="185"/>
      <c r="H275" s="185"/>
      <c r="I275" s="185"/>
      <c r="J275" s="185"/>
      <c r="K275" s="185"/>
      <c r="L275" s="185"/>
    </row>
    <row r="276" spans="1:12">
      <c r="A276" s="185"/>
      <c r="B276" s="185"/>
      <c r="C276" s="185"/>
      <c r="D276" s="185"/>
      <c r="E276" s="185"/>
      <c r="F276" s="185"/>
      <c r="G276" s="185"/>
      <c r="H276" s="185"/>
      <c r="I276" s="185"/>
      <c r="J276" s="185"/>
      <c r="K276" s="185"/>
      <c r="L276" s="185"/>
    </row>
    <row r="277" spans="1:12">
      <c r="A277" s="185"/>
      <c r="B277" s="185"/>
      <c r="C277" s="185"/>
      <c r="D277" s="185"/>
      <c r="E277" s="185"/>
      <c r="F277" s="185"/>
      <c r="G277" s="185"/>
      <c r="H277" s="185"/>
      <c r="I277" s="185"/>
      <c r="J277" s="185"/>
      <c r="K277" s="185"/>
      <c r="L277" s="185"/>
    </row>
    <row r="278" spans="1:12">
      <c r="A278" s="185"/>
      <c r="B278" s="185"/>
      <c r="C278" s="185"/>
      <c r="D278" s="185"/>
      <c r="E278" s="185"/>
      <c r="F278" s="185"/>
      <c r="G278" s="185"/>
      <c r="H278" s="185"/>
      <c r="I278" s="185"/>
      <c r="J278" s="185"/>
      <c r="K278" s="185"/>
      <c r="L278" s="185"/>
    </row>
    <row r="279" spans="1:12">
      <c r="A279" s="185"/>
      <c r="B279" s="185"/>
      <c r="C279" s="185"/>
      <c r="D279" s="185"/>
      <c r="E279" s="185"/>
      <c r="F279" s="185"/>
      <c r="G279" s="185"/>
      <c r="H279" s="185"/>
      <c r="I279" s="185"/>
      <c r="J279" s="185"/>
      <c r="K279" s="185"/>
      <c r="L279" s="185"/>
    </row>
  </sheetData>
  <mergeCells count="3">
    <mergeCell ref="B3:J3"/>
    <mergeCell ref="B5:J5"/>
    <mergeCell ref="B6:J6"/>
  </mergeCells>
  <conditionalFormatting sqref="H29 H27">
    <cfRule type="expression" dxfId="33" priority="1" stopIfTrue="1">
      <formula>$H$16="Estimated"</formula>
    </cfRule>
  </conditionalFormatting>
  <dataValidations disablePrompts="1" count="1">
    <dataValidation allowBlank="1" showInputMessage="1" showErrorMessage="1" error="Enter only a number" prompt="Use numbers only.  Do not use a % sign or any other text in this box. " sqref="I14"/>
  </dataValidations>
  <printOptions horizontalCentered="1"/>
  <pageMargins left="0" right="0" top="1" bottom="0" header="0" footer="0"/>
  <pageSetup scale="88" orientation="landscape" blackAndWhite="1" r:id="rId1"/>
  <headerFooter alignWithMargins="0"/>
  <rowBreaks count="1" manualBreakCount="1">
    <brk id="35" max="65535" man="1"/>
  </rowBreaks>
  <legacyDrawing r:id="rId2"/>
</worksheet>
</file>

<file path=xl/worksheets/sheet19.xml><?xml version="1.0" encoding="utf-8"?>
<worksheet xmlns="http://schemas.openxmlformats.org/spreadsheetml/2006/main" xmlns:r="http://schemas.openxmlformats.org/officeDocument/2006/relationships">
  <sheetPr codeName="Sheet9">
    <pageSetUpPr fitToPage="1"/>
  </sheetPr>
  <dimension ref="A1:AC82"/>
  <sheetViews>
    <sheetView showGridLines="0" topLeftCell="A19" zoomScale="85" zoomScaleNormal="85" workbookViewId="0">
      <selection activeCell="H31" sqref="H31"/>
    </sheetView>
  </sheetViews>
  <sheetFormatPr defaultColWidth="8.85546875" defaultRowHeight="12.75"/>
  <cols>
    <col min="1" max="1" width="1.85546875" style="91" customWidth="1"/>
    <col min="2" max="2" width="40.7109375" style="91" customWidth="1"/>
    <col min="3" max="3" width="2.7109375" style="91" customWidth="1"/>
    <col min="4" max="4" width="6.85546875" style="91" customWidth="1"/>
    <col min="5" max="8" width="19" style="91" customWidth="1"/>
    <col min="9" max="10" width="8.85546875" style="91"/>
    <col min="11" max="11" width="22.7109375" style="91" bestFit="1" customWidth="1"/>
    <col min="12" max="13" width="10.28515625" style="91" bestFit="1" customWidth="1"/>
    <col min="14" max="14" width="9.7109375" style="91" bestFit="1" customWidth="1"/>
    <col min="15" max="17" width="10.28515625" style="91" bestFit="1" customWidth="1"/>
    <col min="18" max="18" width="9.7109375" style="91" bestFit="1" customWidth="1"/>
    <col min="19" max="19" width="9.85546875" style="91" bestFit="1" customWidth="1"/>
    <col min="20" max="21" width="10.28515625" style="91" bestFit="1" customWidth="1"/>
    <col min="22" max="22" width="9.7109375" style="91" bestFit="1" customWidth="1"/>
    <col min="23" max="25" width="10.28515625" style="91" bestFit="1" customWidth="1"/>
    <col min="26" max="26" width="9.7109375" style="91" bestFit="1" customWidth="1"/>
    <col min="27" max="27" width="10.28515625" style="91" bestFit="1" customWidth="1"/>
    <col min="28" max="16384" width="8.85546875" style="91"/>
  </cols>
  <sheetData>
    <row r="1" spans="1:29">
      <c r="A1" s="1475" t="str">
        <f>TestYear &amp; " Test Year"</f>
        <v>2015 Test Year</v>
      </c>
      <c r="B1" s="665"/>
      <c r="C1" s="665"/>
      <c r="D1" s="665"/>
      <c r="E1" s="665"/>
      <c r="F1" s="665"/>
      <c r="G1" s="665"/>
      <c r="H1" s="666" t="s">
        <v>442</v>
      </c>
      <c r="I1" s="185"/>
      <c r="J1" s="185"/>
    </row>
    <row r="2" spans="1:29">
      <c r="A2" s="185"/>
      <c r="B2" s="665"/>
      <c r="C2" s="665"/>
      <c r="D2" s="665"/>
      <c r="E2" s="665"/>
      <c r="F2" s="665"/>
      <c r="G2" s="665"/>
      <c r="H2" s="666"/>
      <c r="I2" s="185"/>
      <c r="J2" s="185"/>
    </row>
    <row r="3" spans="1:29">
      <c r="A3" s="185"/>
      <c r="B3" s="1977" t="str">
        <f>Utility</f>
        <v>MADISON WATER UTILITY</v>
      </c>
      <c r="C3" s="1978"/>
      <c r="D3" s="1978"/>
      <c r="E3" s="1978"/>
      <c r="F3" s="1978"/>
      <c r="G3" s="1978"/>
      <c r="H3" s="1978"/>
      <c r="I3" s="185"/>
      <c r="J3" s="185"/>
    </row>
    <row r="4" spans="1:29" ht="7.5" customHeight="1">
      <c r="A4" s="185"/>
      <c r="B4" s="665"/>
      <c r="C4" s="665"/>
      <c r="D4" s="665"/>
      <c r="E4" s="665"/>
      <c r="F4" s="665"/>
      <c r="G4" s="665"/>
      <c r="H4" s="665"/>
      <c r="I4" s="185"/>
      <c r="J4" s="185"/>
    </row>
    <row r="5" spans="1:29">
      <c r="A5" s="185"/>
      <c r="B5" s="1979" t="s">
        <v>443</v>
      </c>
      <c r="C5" s="1980"/>
      <c r="D5" s="1980"/>
      <c r="E5" s="1980"/>
      <c r="F5" s="1980"/>
      <c r="G5" s="1980"/>
      <c r="H5" s="1980"/>
      <c r="I5" s="185"/>
      <c r="J5" s="185"/>
    </row>
    <row r="6" spans="1:29">
      <c r="A6" s="1495"/>
      <c r="B6" s="1981" t="str">
        <f>CONCATENATE("Estimated for Test Year ",TestYear)</f>
        <v>Estimated for Test Year 2015</v>
      </c>
      <c r="C6" s="1980"/>
      <c r="D6" s="1980"/>
      <c r="E6" s="1980"/>
      <c r="F6" s="1980"/>
      <c r="G6" s="1980"/>
      <c r="H6" s="1980"/>
      <c r="I6" s="185"/>
      <c r="J6" s="185"/>
    </row>
    <row r="7" spans="1:29" ht="7.5" customHeight="1" thickBot="1">
      <c r="A7" s="185"/>
      <c r="B7" s="1496"/>
      <c r="C7" s="665"/>
      <c r="D7" s="665"/>
      <c r="E7" s="1497"/>
      <c r="F7" s="1497"/>
      <c r="G7" s="1497"/>
      <c r="H7" s="665"/>
      <c r="I7" s="185"/>
      <c r="J7" s="185"/>
    </row>
    <row r="8" spans="1:29" ht="13.5" thickTop="1">
      <c r="A8" s="185"/>
      <c r="B8" s="1499" t="s">
        <v>444</v>
      </c>
      <c r="C8" s="691"/>
      <c r="D8" s="691"/>
      <c r="E8" s="1500"/>
      <c r="F8" s="1500"/>
      <c r="G8" s="1500"/>
      <c r="H8" s="691"/>
      <c r="I8" s="368"/>
      <c r="J8" s="185"/>
    </row>
    <row r="9" spans="1:29">
      <c r="A9" s="185"/>
      <c r="B9" s="730" t="str">
        <f>CONCATENATE(" 1.  For the years ",TestYear-3,"-",TestYear-2,", use actual information reported in the PSC Annual Reports.")</f>
        <v xml:space="preserve"> 1.  For the years 2012-2013, use actual information reported in the PSC Annual Reports.</v>
      </c>
      <c r="C9" s="673"/>
      <c r="D9" s="673"/>
      <c r="E9" s="701"/>
      <c r="F9" s="701"/>
      <c r="G9" s="701"/>
      <c r="H9" s="673"/>
      <c r="I9" s="370"/>
      <c r="J9" s="185"/>
    </row>
    <row r="10" spans="1:29">
      <c r="A10" s="185"/>
      <c r="B10" s="730" t="str">
        <f>CONCATENATE(" 2.  For estimated ",TestYear-1," and test year ",TestYear,":")</f>
        <v xml:space="preserve"> 2.  For estimated 2014 and test year 2015:</v>
      </c>
      <c r="C10" s="673"/>
      <c r="D10" s="673"/>
      <c r="E10" s="701"/>
      <c r="F10" s="701"/>
      <c r="G10" s="701"/>
      <c r="H10" s="673"/>
      <c r="I10" s="370"/>
      <c r="J10" s="185"/>
    </row>
    <row r="11" spans="1:29">
      <c r="A11" s="185"/>
      <c r="B11" s="730" t="s">
        <v>445</v>
      </c>
      <c r="C11" s="673"/>
      <c r="D11" s="673"/>
      <c r="E11" s="701"/>
      <c r="F11" s="701"/>
      <c r="G11" s="701"/>
      <c r="H11" s="673"/>
      <c r="I11" s="370"/>
      <c r="J11" s="185"/>
    </row>
    <row r="12" spans="1:29">
      <c r="A12" s="185"/>
      <c r="B12" s="730" t="s">
        <v>446</v>
      </c>
      <c r="C12" s="673"/>
      <c r="D12" s="673"/>
      <c r="E12" s="701"/>
      <c r="F12" s="701"/>
      <c r="G12" s="701"/>
      <c r="H12" s="673"/>
      <c r="I12" s="370"/>
      <c r="J12" s="185"/>
    </row>
    <row r="13" spans="1:29" ht="15.75" customHeight="1">
      <c r="A13" s="185"/>
      <c r="B13" s="1077" t="s">
        <v>447</v>
      </c>
      <c r="C13" s="1138"/>
      <c r="D13" s="1138"/>
      <c r="E13" s="1138"/>
      <c r="F13" s="1138"/>
      <c r="G13" s="1138"/>
      <c r="H13" s="1138"/>
      <c r="I13" s="370"/>
      <c r="J13" s="185"/>
    </row>
    <row r="14" spans="1:29" ht="15.75" customHeight="1">
      <c r="A14" s="185"/>
      <c r="B14" s="1077" t="s">
        <v>448</v>
      </c>
      <c r="C14" s="1138"/>
      <c r="D14" s="1138"/>
      <c r="E14" s="1138"/>
      <c r="F14" s="1138"/>
      <c r="G14" s="1138"/>
      <c r="H14" s="1138"/>
      <c r="I14" s="370"/>
      <c r="J14" s="185"/>
    </row>
    <row r="15" spans="1:29">
      <c r="A15" s="185"/>
      <c r="B15" s="730" t="s">
        <v>449</v>
      </c>
      <c r="C15" s="673"/>
      <c r="D15" s="673"/>
      <c r="E15" s="701"/>
      <c r="F15" s="701"/>
      <c r="G15" s="701"/>
      <c r="H15" s="673"/>
      <c r="I15" s="370"/>
      <c r="J15" s="185"/>
    </row>
    <row r="16" spans="1:29">
      <c r="A16" s="185"/>
      <c r="B16" s="730" t="s">
        <v>450</v>
      </c>
      <c r="C16" s="673"/>
      <c r="D16" s="673"/>
      <c r="E16" s="701"/>
      <c r="F16" s="701"/>
      <c r="G16" s="701"/>
      <c r="H16" s="673"/>
      <c r="I16" s="370"/>
      <c r="J16" s="185"/>
      <c r="K16" s="134"/>
      <c r="L16" s="134"/>
      <c r="M16" s="134"/>
      <c r="N16" s="134"/>
      <c r="O16" s="134"/>
      <c r="P16" s="134"/>
      <c r="Q16" s="1791"/>
      <c r="R16" s="134"/>
      <c r="S16" s="134"/>
      <c r="T16" s="134"/>
      <c r="U16" s="134"/>
      <c r="V16" s="134"/>
      <c r="W16" s="134"/>
      <c r="X16" s="134"/>
      <c r="Y16" s="134"/>
      <c r="Z16" s="134"/>
      <c r="AA16" s="134"/>
      <c r="AB16" s="134"/>
      <c r="AC16" s="134"/>
    </row>
    <row r="17" spans="1:29">
      <c r="A17" s="185"/>
      <c r="B17" s="730" t="s">
        <v>451</v>
      </c>
      <c r="C17" s="673"/>
      <c r="D17" s="673"/>
      <c r="E17" s="701"/>
      <c r="F17" s="701"/>
      <c r="G17" s="701"/>
      <c r="H17" s="673"/>
      <c r="I17" s="370"/>
      <c r="J17" s="185"/>
      <c r="K17" s="134"/>
      <c r="L17" s="134"/>
      <c r="M17" s="134"/>
      <c r="N17" s="134"/>
      <c r="O17" s="134"/>
      <c r="P17" s="134"/>
      <c r="Q17" s="134"/>
      <c r="R17" s="134"/>
      <c r="S17" s="134"/>
      <c r="T17" s="134"/>
      <c r="U17" s="134"/>
      <c r="V17" s="134"/>
      <c r="W17" s="134"/>
      <c r="X17" s="134"/>
      <c r="Y17" s="134"/>
      <c r="Z17" s="134"/>
      <c r="AA17" s="134"/>
      <c r="AB17" s="134"/>
      <c r="AC17" s="134"/>
    </row>
    <row r="18" spans="1:29">
      <c r="A18" s="185"/>
      <c r="B18" s="730" t="s">
        <v>452</v>
      </c>
      <c r="C18" s="673"/>
      <c r="D18" s="673"/>
      <c r="E18" s="701"/>
      <c r="F18" s="701"/>
      <c r="G18" s="701"/>
      <c r="H18" s="673"/>
      <c r="I18" s="370"/>
      <c r="J18" s="185"/>
      <c r="K18" s="134"/>
      <c r="L18" s="134"/>
      <c r="M18" s="134"/>
      <c r="N18" s="134"/>
      <c r="O18" s="134"/>
      <c r="P18" s="134"/>
      <c r="Q18" s="134"/>
      <c r="R18" s="134"/>
      <c r="S18" s="134"/>
      <c r="T18" s="134"/>
      <c r="U18" s="134"/>
      <c r="V18" s="134"/>
      <c r="W18" s="134"/>
      <c r="X18" s="134"/>
      <c r="Y18" s="134"/>
      <c r="Z18" s="134"/>
      <c r="AA18" s="134"/>
      <c r="AB18" s="134"/>
      <c r="AC18" s="134"/>
    </row>
    <row r="19" spans="1:29">
      <c r="A19" s="185"/>
      <c r="B19" s="730" t="s">
        <v>453</v>
      </c>
      <c r="C19" s="673"/>
      <c r="D19" s="673"/>
      <c r="E19" s="701"/>
      <c r="F19" s="701"/>
      <c r="G19" s="701"/>
      <c r="H19" s="673"/>
      <c r="I19" s="370"/>
      <c r="J19" s="185"/>
      <c r="K19" s="134"/>
      <c r="L19" s="134"/>
      <c r="M19" s="134"/>
      <c r="N19" s="134"/>
      <c r="O19" s="134"/>
      <c r="P19" s="134"/>
      <c r="Q19" s="134"/>
      <c r="R19" s="134"/>
      <c r="S19" s="134"/>
      <c r="T19" s="134"/>
      <c r="U19" s="134"/>
      <c r="V19" s="134"/>
      <c r="W19" s="134"/>
      <c r="X19" s="134"/>
      <c r="Y19" s="134"/>
      <c r="Z19" s="134"/>
      <c r="AA19" s="134"/>
      <c r="AB19" s="134"/>
      <c r="AC19" s="134"/>
    </row>
    <row r="20" spans="1:29">
      <c r="A20" s="185"/>
      <c r="B20" s="730" t="s">
        <v>454</v>
      </c>
      <c r="C20" s="673"/>
      <c r="D20" s="673"/>
      <c r="E20" s="701"/>
      <c r="F20" s="701"/>
      <c r="G20" s="701"/>
      <c r="H20" s="673"/>
      <c r="I20" s="370"/>
      <c r="J20" s="185"/>
      <c r="K20" s="134"/>
      <c r="L20" s="134"/>
      <c r="M20" s="134"/>
      <c r="N20" s="134"/>
      <c r="O20" s="134"/>
      <c r="P20" s="134"/>
      <c r="Q20" s="134"/>
      <c r="R20" s="134"/>
      <c r="S20" s="134"/>
      <c r="T20" s="134"/>
      <c r="U20" s="134"/>
      <c r="V20" s="134"/>
      <c r="W20" s="134"/>
      <c r="X20" s="134"/>
      <c r="Y20" s="134"/>
      <c r="Z20" s="134"/>
      <c r="AA20" s="134"/>
      <c r="AB20" s="134"/>
      <c r="AC20" s="134"/>
    </row>
    <row r="21" spans="1:29">
      <c r="A21" s="185"/>
      <c r="B21" s="730" t="s">
        <v>455</v>
      </c>
      <c r="C21" s="673"/>
      <c r="D21" s="673"/>
      <c r="E21" s="701"/>
      <c r="F21" s="701"/>
      <c r="G21" s="701"/>
      <c r="H21" s="673"/>
      <c r="I21" s="370"/>
      <c r="J21" s="185"/>
      <c r="K21" s="1792"/>
      <c r="L21" s="134"/>
      <c r="M21" s="134"/>
      <c r="N21" s="134"/>
      <c r="O21" s="134"/>
      <c r="P21" s="134"/>
      <c r="Q21" s="134"/>
      <c r="R21" s="134"/>
      <c r="S21" s="134"/>
      <c r="T21" s="134"/>
      <c r="U21" s="134"/>
      <c r="V21" s="134"/>
      <c r="W21" s="134"/>
      <c r="X21" s="134"/>
      <c r="Y21" s="134"/>
      <c r="Z21" s="134"/>
      <c r="AA21" s="134"/>
      <c r="AB21" s="134"/>
      <c r="AC21" s="134"/>
    </row>
    <row r="22" spans="1:29">
      <c r="A22" s="185"/>
      <c r="B22" s="730" t="s">
        <v>456</v>
      </c>
      <c r="C22" s="673"/>
      <c r="D22" s="673"/>
      <c r="E22" s="701"/>
      <c r="F22" s="701"/>
      <c r="G22" s="701"/>
      <c r="H22" s="673"/>
      <c r="I22" s="370"/>
      <c r="J22" s="185"/>
      <c r="K22" s="134"/>
      <c r="L22" s="134"/>
      <c r="M22" s="134"/>
      <c r="N22" s="134"/>
      <c r="O22" s="134"/>
      <c r="P22" s="134"/>
      <c r="Q22" s="134"/>
      <c r="R22" s="134"/>
      <c r="S22" s="134"/>
      <c r="T22" s="134"/>
      <c r="U22" s="134"/>
      <c r="V22" s="134"/>
      <c r="W22" s="134"/>
      <c r="X22" s="134"/>
      <c r="Y22" s="134"/>
      <c r="Z22" s="134"/>
      <c r="AA22" s="134"/>
      <c r="AB22" s="134"/>
      <c r="AC22" s="134"/>
    </row>
    <row r="23" spans="1:29">
      <c r="A23" s="185"/>
      <c r="B23" s="730" t="s">
        <v>457</v>
      </c>
      <c r="C23" s="673"/>
      <c r="D23" s="673"/>
      <c r="E23" s="673"/>
      <c r="F23" s="673"/>
      <c r="G23" s="673"/>
      <c r="H23" s="673"/>
      <c r="I23" s="370"/>
      <c r="J23" s="185"/>
      <c r="K23" s="134"/>
      <c r="L23" s="134"/>
      <c r="M23" s="134"/>
      <c r="N23" s="134"/>
      <c r="O23" s="134"/>
      <c r="P23" s="134"/>
      <c r="Q23" s="134"/>
      <c r="R23" s="134"/>
      <c r="S23" s="134"/>
      <c r="T23" s="134"/>
      <c r="U23" s="134"/>
      <c r="V23" s="134"/>
      <c r="W23" s="134"/>
      <c r="X23" s="134"/>
      <c r="Y23" s="134"/>
      <c r="Z23" s="134"/>
      <c r="AA23" s="134"/>
      <c r="AB23" s="134"/>
      <c r="AC23" s="134"/>
    </row>
    <row r="24" spans="1:29">
      <c r="A24" s="185"/>
      <c r="B24" s="730"/>
      <c r="C24" s="673"/>
      <c r="D24" s="673"/>
      <c r="E24" s="735" t="s">
        <v>8</v>
      </c>
      <c r="F24" s="735" t="s">
        <v>8</v>
      </c>
      <c r="G24" s="735" t="str">
        <f>Data!H5</f>
        <v>Estimated</v>
      </c>
      <c r="H24" s="735" t="s">
        <v>396</v>
      </c>
      <c r="I24" s="370"/>
      <c r="J24" s="185"/>
      <c r="K24" s="134"/>
      <c r="L24" s="134"/>
      <c r="M24" s="134"/>
      <c r="N24" s="134"/>
      <c r="O24" s="134"/>
      <c r="P24" s="134"/>
      <c r="Q24" s="134"/>
      <c r="R24" s="134"/>
      <c r="S24" s="134"/>
      <c r="T24" s="134"/>
      <c r="U24" s="134"/>
      <c r="V24" s="134"/>
      <c r="W24" s="134"/>
      <c r="X24" s="134"/>
      <c r="Y24" s="134"/>
      <c r="Z24" s="134"/>
      <c r="AA24" s="134"/>
      <c r="AB24" s="134"/>
      <c r="AC24" s="134"/>
    </row>
    <row r="25" spans="1:29">
      <c r="A25" s="185"/>
      <c r="B25" s="1498" t="s">
        <v>398</v>
      </c>
      <c r="C25" s="736"/>
      <c r="D25" s="736" t="s">
        <v>458</v>
      </c>
      <c r="E25" s="736">
        <f>TestYear-3</f>
        <v>2012</v>
      </c>
      <c r="F25" s="736">
        <f>TestYear-2</f>
        <v>2013</v>
      </c>
      <c r="G25" s="736">
        <f>TestYear-1</f>
        <v>2014</v>
      </c>
      <c r="H25" s="736">
        <f>TestYear</f>
        <v>2015</v>
      </c>
      <c r="I25" s="370"/>
      <c r="J25" s="185"/>
      <c r="K25" s="134"/>
      <c r="L25" s="134"/>
      <c r="M25" s="134"/>
      <c r="N25" s="134"/>
      <c r="O25" s="134"/>
      <c r="P25" s="134"/>
      <c r="Q25" s="134"/>
      <c r="R25" s="134"/>
      <c r="S25" s="134"/>
      <c r="T25" s="134"/>
      <c r="U25" s="134"/>
      <c r="V25" s="134"/>
      <c r="W25" s="134"/>
      <c r="X25" s="134"/>
      <c r="Y25" s="134"/>
      <c r="Z25" s="134"/>
      <c r="AA25" s="134"/>
      <c r="AB25" s="134"/>
      <c r="AC25" s="134"/>
    </row>
    <row r="26" spans="1:29">
      <c r="A26" s="185"/>
      <c r="B26" s="1077" t="s">
        <v>459</v>
      </c>
      <c r="C26" s="736"/>
      <c r="D26" s="736"/>
      <c r="E26" s="736"/>
      <c r="F26" s="736"/>
      <c r="G26" s="736"/>
      <c r="H26" s="736"/>
      <c r="I26" s="370"/>
      <c r="J26" s="185"/>
      <c r="K26" s="134"/>
      <c r="L26" s="134"/>
      <c r="M26" s="134"/>
      <c r="N26" s="134"/>
      <c r="O26" s="134"/>
      <c r="P26" s="134"/>
      <c r="Q26" s="134"/>
      <c r="R26" s="134"/>
      <c r="S26" s="134"/>
      <c r="T26" s="134"/>
      <c r="U26" s="134"/>
      <c r="V26" s="134"/>
      <c r="W26" s="134"/>
      <c r="X26" s="134"/>
      <c r="Y26" s="134"/>
      <c r="Z26" s="134"/>
      <c r="AA26" s="134"/>
      <c r="AB26" s="134"/>
      <c r="AC26" s="134"/>
    </row>
    <row r="27" spans="1:29">
      <c r="A27" s="185"/>
      <c r="B27" s="1077" t="s">
        <v>460</v>
      </c>
      <c r="C27" s="1237"/>
      <c r="D27" s="735">
        <v>1</v>
      </c>
      <c r="E27" s="1501">
        <f>Data!L100</f>
        <v>243135677</v>
      </c>
      <c r="F27" s="1501">
        <f>Data!L99</f>
        <v>264283686</v>
      </c>
      <c r="G27" s="1502"/>
      <c r="H27" s="1502"/>
      <c r="I27" s="370"/>
      <c r="J27" s="185"/>
      <c r="K27" s="134"/>
      <c r="L27" s="1791"/>
      <c r="M27" s="1791"/>
      <c r="N27" s="1791"/>
      <c r="O27" s="1791"/>
      <c r="P27" s="1791"/>
      <c r="Q27" s="1791"/>
      <c r="R27" s="1791"/>
      <c r="S27" s="1791"/>
      <c r="T27" s="1791"/>
      <c r="U27" s="1791"/>
      <c r="V27" s="1791"/>
      <c r="W27" s="1791"/>
      <c r="X27" s="1791"/>
      <c r="Y27" s="1791"/>
      <c r="Z27" s="1791"/>
      <c r="AA27" s="1791"/>
      <c r="AB27" s="134"/>
      <c r="AC27" s="134"/>
    </row>
    <row r="28" spans="1:29">
      <c r="A28" s="185"/>
      <c r="B28" s="1077" t="s">
        <v>461</v>
      </c>
      <c r="C28" s="1237"/>
      <c r="D28" s="735" t="s">
        <v>462</v>
      </c>
      <c r="E28" s="1502"/>
      <c r="F28" s="1502"/>
      <c r="G28" s="1503">
        <f>IF(G35=0,0,Attach11!D87)</f>
        <v>177062141</v>
      </c>
      <c r="H28" s="1503">
        <f>IF(H35=0,0,Attach11!H87)</f>
        <v>205178133</v>
      </c>
      <c r="I28" s="370"/>
      <c r="J28" s="185"/>
      <c r="K28" s="134"/>
      <c r="L28" s="1791"/>
      <c r="M28" s="1791"/>
      <c r="N28" s="1791"/>
      <c r="O28" s="1791"/>
      <c r="P28" s="1791"/>
      <c r="Q28" s="1791"/>
      <c r="R28" s="1791"/>
      <c r="S28" s="1791"/>
      <c r="T28" s="1791"/>
      <c r="U28" s="1791"/>
      <c r="V28" s="1791"/>
      <c r="W28" s="1791"/>
      <c r="X28" s="1791"/>
      <c r="Y28" s="1791"/>
      <c r="Z28" s="1791"/>
      <c r="AA28" s="1791"/>
      <c r="AB28" s="134"/>
      <c r="AC28" s="134"/>
    </row>
    <row r="29" spans="1:29">
      <c r="A29" s="185"/>
      <c r="B29" s="1077" t="s">
        <v>463</v>
      </c>
      <c r="C29" s="1237"/>
      <c r="D29" s="735" t="s">
        <v>462</v>
      </c>
      <c r="E29" s="1502"/>
      <c r="F29" s="1502"/>
      <c r="G29" s="1503">
        <f>IF(G35=0,0,Attach11a!D89)</f>
        <v>81715918</v>
      </c>
      <c r="H29" s="1503">
        <f>IF(H35=0,0,Attach11a!H89)</f>
        <v>82847403</v>
      </c>
      <c r="I29" s="370"/>
      <c r="J29" s="185"/>
      <c r="K29" s="134"/>
      <c r="L29" s="1791"/>
      <c r="M29" s="1791"/>
      <c r="N29" s="1791"/>
      <c r="O29" s="1791"/>
      <c r="P29" s="1791"/>
      <c r="Q29" s="1791"/>
      <c r="R29" s="1791"/>
      <c r="S29" s="1791"/>
      <c r="T29" s="1791"/>
      <c r="U29" s="1791"/>
      <c r="V29" s="1791"/>
      <c r="W29" s="1791"/>
      <c r="X29" s="1791"/>
      <c r="Y29" s="1791"/>
      <c r="Z29" s="1791"/>
      <c r="AA29" s="1791"/>
      <c r="AB29" s="134"/>
      <c r="AC29" s="134"/>
    </row>
    <row r="30" spans="1:29">
      <c r="A30" s="185"/>
      <c r="B30" s="1077" t="s">
        <v>464</v>
      </c>
      <c r="C30" s="1237"/>
      <c r="D30" s="735" t="s">
        <v>465</v>
      </c>
      <c r="E30" s="1502"/>
      <c r="F30" s="1502"/>
      <c r="G30" s="1502"/>
      <c r="H30" s="1504">
        <v>0</v>
      </c>
      <c r="I30" s="370"/>
      <c r="J30" s="185"/>
      <c r="K30" s="134"/>
      <c r="L30" s="1791"/>
      <c r="M30" s="1791"/>
      <c r="N30" s="1791"/>
      <c r="O30" s="1791"/>
      <c r="P30" s="1791"/>
      <c r="Q30" s="1791"/>
      <c r="R30" s="1791"/>
      <c r="S30" s="1791"/>
      <c r="T30" s="1791"/>
      <c r="U30" s="1791"/>
      <c r="V30" s="1791"/>
      <c r="W30" s="1791"/>
      <c r="X30" s="1791"/>
      <c r="Y30" s="1791"/>
      <c r="Z30" s="1791"/>
      <c r="AA30" s="1791"/>
      <c r="AB30" s="134"/>
      <c r="AC30" s="134"/>
    </row>
    <row r="31" spans="1:29">
      <c r="A31" s="185"/>
      <c r="B31" s="1077" t="s">
        <v>466</v>
      </c>
      <c r="C31" s="1237"/>
      <c r="D31" s="735" t="s">
        <v>467</v>
      </c>
      <c r="E31" s="1502"/>
      <c r="F31" s="1502"/>
      <c r="G31" s="1505">
        <v>17042198</v>
      </c>
      <c r="H31" s="1505">
        <f>G31-10709132+1026000</f>
        <v>7359066</v>
      </c>
      <c r="I31" s="370"/>
      <c r="J31" s="185"/>
      <c r="K31" s="134"/>
      <c r="L31" s="1791"/>
      <c r="M31" s="1791"/>
      <c r="N31" s="1791"/>
      <c r="O31" s="1791"/>
      <c r="P31" s="1791"/>
      <c r="Q31" s="1791"/>
      <c r="R31" s="1791"/>
      <c r="S31" s="1791"/>
      <c r="T31" s="1791"/>
      <c r="U31" s="1791"/>
      <c r="V31" s="1791"/>
      <c r="W31" s="1791"/>
      <c r="X31" s="1791"/>
      <c r="Y31" s="1791"/>
      <c r="Z31" s="1791"/>
      <c r="AA31" s="1791"/>
      <c r="AB31" s="134"/>
      <c r="AC31" s="134"/>
    </row>
    <row r="32" spans="1:29">
      <c r="A32" s="185"/>
      <c r="B32" s="1077" t="s">
        <v>468</v>
      </c>
      <c r="C32" s="1237"/>
      <c r="D32" s="735" t="s">
        <v>469</v>
      </c>
      <c r="E32" s="1501">
        <f>Attach13!I25</f>
        <v>951616</v>
      </c>
      <c r="F32" s="1501">
        <f>Attach13!I26</f>
        <v>667070</v>
      </c>
      <c r="G32" s="1503">
        <f>Attach13!I27</f>
        <v>713450</v>
      </c>
      <c r="H32" s="1503">
        <f>Attach13!I28</f>
        <v>700000</v>
      </c>
      <c r="I32" s="370"/>
      <c r="J32" s="185"/>
      <c r="K32" s="134"/>
      <c r="L32" s="1791"/>
      <c r="M32" s="1791"/>
      <c r="N32" s="1791"/>
      <c r="O32" s="1791"/>
      <c r="P32" s="1791"/>
      <c r="Q32" s="1791"/>
      <c r="R32" s="1791"/>
      <c r="S32" s="1791"/>
      <c r="T32" s="1791"/>
      <c r="U32" s="1791"/>
      <c r="V32" s="1791"/>
      <c r="W32" s="1791"/>
      <c r="X32" s="1791"/>
      <c r="Y32" s="1791"/>
      <c r="Z32" s="1791"/>
      <c r="AA32" s="1791"/>
      <c r="AB32" s="134"/>
      <c r="AC32" s="134"/>
    </row>
    <row r="33" spans="1:29" ht="15.75" customHeight="1">
      <c r="A33" s="185"/>
      <c r="B33" s="1077" t="s">
        <v>1002</v>
      </c>
      <c r="C33" s="1237"/>
      <c r="D33" s="735" t="s">
        <v>470</v>
      </c>
      <c r="E33" s="1501">
        <f>Data!J100</f>
        <v>3790685</v>
      </c>
      <c r="F33" s="1501">
        <f>Data!J99</f>
        <v>4654890</v>
      </c>
      <c r="G33" s="1501">
        <v>4654890</v>
      </c>
      <c r="H33" s="1770">
        <v>4654890</v>
      </c>
      <c r="I33" s="370"/>
      <c r="J33" s="185"/>
      <c r="K33" s="134"/>
      <c r="L33" s="1791"/>
      <c r="M33" s="1791"/>
      <c r="N33" s="1791"/>
      <c r="O33" s="1791"/>
      <c r="P33" s="1791"/>
      <c r="Q33" s="1791"/>
      <c r="R33" s="1791"/>
      <c r="S33" s="1791"/>
      <c r="T33" s="1791"/>
      <c r="U33" s="1791"/>
      <c r="V33" s="1791"/>
      <c r="W33" s="1791"/>
      <c r="X33" s="1791"/>
      <c r="Y33" s="1791"/>
      <c r="Z33" s="1791"/>
      <c r="AA33" s="1791"/>
      <c r="AB33" s="134"/>
      <c r="AC33" s="134"/>
    </row>
    <row r="34" spans="1:29">
      <c r="A34" s="185"/>
      <c r="B34" s="1077" t="s">
        <v>471</v>
      </c>
      <c r="C34" s="1237"/>
      <c r="D34" s="735"/>
      <c r="E34" s="1506">
        <f>E27+E32-E33</f>
        <v>240296608</v>
      </c>
      <c r="F34" s="1506">
        <f>F27+F32-F33</f>
        <v>260295866</v>
      </c>
      <c r="G34" s="1506">
        <f>SUM(G28:G32)-G33</f>
        <v>271878817</v>
      </c>
      <c r="H34" s="1772">
        <f>SUM(H28:H32)-H33</f>
        <v>291429712</v>
      </c>
      <c r="I34" s="370"/>
      <c r="J34" s="185"/>
      <c r="K34" s="134"/>
      <c r="L34" s="134"/>
      <c r="M34" s="134"/>
      <c r="N34" s="134"/>
      <c r="O34" s="134"/>
      <c r="P34" s="134"/>
      <c r="Q34" s="134"/>
      <c r="R34" s="134"/>
      <c r="S34" s="134"/>
      <c r="T34" s="134"/>
      <c r="U34" s="134"/>
      <c r="V34" s="134"/>
      <c r="W34" s="134"/>
      <c r="X34" s="134"/>
      <c r="Y34" s="134"/>
      <c r="Z34" s="134"/>
      <c r="AA34" s="134"/>
      <c r="AB34" s="134"/>
      <c r="AC34" s="134"/>
    </row>
    <row r="35" spans="1:29">
      <c r="A35" s="185"/>
      <c r="B35" s="1077" t="s">
        <v>1003</v>
      </c>
      <c r="C35" s="1237"/>
      <c r="D35" s="735" t="s">
        <v>472</v>
      </c>
      <c r="E35" s="1507">
        <f>Data!K100</f>
        <v>0.97711499999999996</v>
      </c>
      <c r="F35" s="1507">
        <f>Data!K99</f>
        <v>0.97704199999999997</v>
      </c>
      <c r="G35" s="1507">
        <v>0.97699999999999998</v>
      </c>
      <c r="H35" s="1771">
        <v>0.97699999999999998</v>
      </c>
      <c r="I35" s="370"/>
      <c r="J35" s="185"/>
      <c r="K35" s="134"/>
      <c r="L35" s="134"/>
      <c r="M35" s="134"/>
      <c r="N35" s="134"/>
      <c r="O35" s="134"/>
      <c r="P35" s="134"/>
      <c r="Q35" s="134"/>
      <c r="R35" s="134"/>
      <c r="S35" s="134"/>
      <c r="T35" s="134"/>
      <c r="U35" s="134"/>
      <c r="V35" s="134"/>
      <c r="W35" s="134"/>
      <c r="X35" s="134"/>
      <c r="Y35" s="134"/>
      <c r="Z35" s="134"/>
      <c r="AA35" s="134"/>
      <c r="AB35" s="134"/>
      <c r="AC35" s="134"/>
    </row>
    <row r="36" spans="1:29">
      <c r="A36" s="185"/>
      <c r="B36" s="1077" t="s">
        <v>473</v>
      </c>
      <c r="C36" s="1237"/>
      <c r="D36" s="735"/>
      <c r="E36" s="1508">
        <f>E34*E35</f>
        <v>234797420.12592</v>
      </c>
      <c r="F36" s="1508">
        <f>F34*F35</f>
        <v>254319993.50837198</v>
      </c>
      <c r="G36" s="1508">
        <f>G34*G35</f>
        <v>265625604.20899999</v>
      </c>
      <c r="H36" s="1508">
        <f>H34*H35</f>
        <v>284726828.62400001</v>
      </c>
      <c r="I36" s="370"/>
      <c r="J36" s="185"/>
      <c r="K36" s="134"/>
      <c r="L36" s="134"/>
      <c r="M36" s="134"/>
      <c r="N36" s="134"/>
      <c r="O36" s="134"/>
      <c r="P36" s="134"/>
      <c r="Q36" s="134"/>
      <c r="R36" s="134"/>
      <c r="S36" s="134"/>
      <c r="T36" s="134"/>
      <c r="U36" s="134"/>
      <c r="V36" s="134"/>
      <c r="W36" s="134"/>
      <c r="X36" s="134"/>
      <c r="Y36" s="134"/>
      <c r="Z36" s="134"/>
      <c r="AA36" s="134"/>
      <c r="AB36" s="134"/>
      <c r="AC36" s="134"/>
    </row>
    <row r="37" spans="1:29">
      <c r="A37" s="185"/>
      <c r="B37" s="730" t="s">
        <v>474</v>
      </c>
      <c r="C37" s="673"/>
      <c r="D37" s="735"/>
      <c r="E37" s="673"/>
      <c r="F37" s="673"/>
      <c r="G37" s="673"/>
      <c r="H37" s="673"/>
      <c r="I37" s="370"/>
      <c r="J37" s="185"/>
      <c r="K37" s="134"/>
      <c r="L37" s="134"/>
      <c r="M37" s="134"/>
      <c r="N37" s="134"/>
      <c r="O37" s="134"/>
      <c r="P37" s="134"/>
      <c r="Q37" s="134"/>
      <c r="R37" s="134"/>
      <c r="S37" s="134"/>
      <c r="T37" s="134"/>
      <c r="U37" s="134"/>
      <c r="V37" s="134"/>
      <c r="W37" s="134"/>
      <c r="X37" s="134"/>
      <c r="Y37" s="134"/>
      <c r="Z37" s="134"/>
      <c r="AA37" s="134"/>
      <c r="AB37" s="134"/>
      <c r="AC37" s="134"/>
    </row>
    <row r="38" spans="1:29">
      <c r="A38" s="185"/>
      <c r="B38" s="730" t="s">
        <v>475</v>
      </c>
      <c r="C38" s="1237"/>
      <c r="D38" s="735" t="s">
        <v>472</v>
      </c>
      <c r="E38" s="1509">
        <f>E69</f>
        <v>21.369298859289273</v>
      </c>
      <c r="F38" s="1509">
        <f>F69</f>
        <v>21.946505647230705</v>
      </c>
      <c r="G38" s="1509">
        <f>G69</f>
        <v>22.275703231939158</v>
      </c>
      <c r="H38" s="1509">
        <f>H69</f>
        <v>22.609838780418247</v>
      </c>
      <c r="I38" s="370"/>
      <c r="J38" s="185"/>
      <c r="K38" s="134"/>
      <c r="L38" s="134"/>
      <c r="M38" s="134"/>
      <c r="N38" s="134"/>
      <c r="O38" s="134"/>
      <c r="P38" s="134"/>
      <c r="Q38" s="134"/>
      <c r="R38" s="134"/>
      <c r="S38" s="134"/>
      <c r="T38" s="134"/>
      <c r="U38" s="134"/>
      <c r="V38" s="134"/>
      <c r="W38" s="134"/>
      <c r="X38" s="134"/>
      <c r="Y38" s="134"/>
      <c r="Z38" s="134"/>
      <c r="AA38" s="134"/>
      <c r="AB38" s="134"/>
      <c r="AC38" s="134"/>
    </row>
    <row r="39" spans="1:29">
      <c r="A39" s="185"/>
      <c r="B39" s="730" t="s">
        <v>476</v>
      </c>
      <c r="C39" s="1237"/>
      <c r="D39" s="735"/>
      <c r="E39" s="1510"/>
      <c r="F39" s="1510"/>
      <c r="G39" s="1510"/>
      <c r="H39" s="1510"/>
      <c r="I39" s="370"/>
      <c r="J39" s="185"/>
      <c r="K39" s="134"/>
      <c r="L39" s="134"/>
      <c r="M39" s="134"/>
      <c r="N39" s="134"/>
      <c r="O39" s="134"/>
      <c r="P39" s="134"/>
      <c r="Q39" s="134"/>
      <c r="R39" s="134"/>
      <c r="S39" s="134"/>
      <c r="T39" s="134"/>
      <c r="U39" s="134"/>
      <c r="V39" s="134"/>
      <c r="W39" s="134"/>
      <c r="X39" s="134"/>
      <c r="Y39" s="134"/>
      <c r="Z39" s="134"/>
      <c r="AA39" s="134"/>
      <c r="AB39" s="134"/>
      <c r="AC39" s="134"/>
    </row>
    <row r="40" spans="1:29">
      <c r="A40" s="185"/>
      <c r="B40" s="730" t="s">
        <v>477</v>
      </c>
      <c r="C40" s="673"/>
      <c r="D40" s="735" t="s">
        <v>478</v>
      </c>
      <c r="E40" s="920">
        <f>(E36*E38)/1000</f>
        <v>5017456.2420608867</v>
      </c>
      <c r="F40" s="920">
        <f>(F36*F38)/1000</f>
        <v>5581435.1737351622</v>
      </c>
      <c r="G40" s="920">
        <f>(G36*G38)/1000</f>
        <v>5916997.1301642125</v>
      </c>
      <c r="H40" s="920">
        <f>(H36*H38)/1000</f>
        <v>6437627.6916484153</v>
      </c>
      <c r="I40" s="370"/>
      <c r="J40" s="185"/>
      <c r="K40" s="134"/>
      <c r="L40" s="134"/>
      <c r="M40" s="134"/>
      <c r="N40" s="134"/>
      <c r="O40" s="134"/>
      <c r="P40" s="134"/>
      <c r="Q40" s="134"/>
      <c r="R40" s="134"/>
      <c r="S40" s="134"/>
      <c r="T40" s="134"/>
      <c r="U40" s="134"/>
      <c r="V40" s="134"/>
      <c r="W40" s="134"/>
      <c r="X40" s="134"/>
      <c r="Y40" s="134"/>
      <c r="Z40" s="134"/>
      <c r="AA40" s="134"/>
      <c r="AB40" s="134"/>
      <c r="AC40" s="134"/>
    </row>
    <row r="41" spans="1:29">
      <c r="A41" s="185"/>
      <c r="B41" s="730" t="s">
        <v>479</v>
      </c>
      <c r="C41" s="673"/>
      <c r="D41" s="735">
        <v>1</v>
      </c>
      <c r="E41" s="1501">
        <f>Data!B105</f>
        <v>2077440</v>
      </c>
      <c r="F41" s="1501">
        <f>Data!B104</f>
        <v>2077440</v>
      </c>
      <c r="G41" s="1503">
        <f>F41</f>
        <v>2077440</v>
      </c>
      <c r="H41" s="1503">
        <f>E41</f>
        <v>2077440</v>
      </c>
      <c r="I41" s="370"/>
      <c r="J41" s="185"/>
      <c r="K41" s="134"/>
      <c r="L41" s="134"/>
      <c r="M41" s="134"/>
      <c r="N41" s="134"/>
      <c r="O41" s="134"/>
      <c r="P41" s="134"/>
      <c r="Q41" s="134"/>
      <c r="R41" s="134"/>
      <c r="S41" s="134"/>
      <c r="T41" s="134"/>
      <c r="U41" s="134"/>
      <c r="V41" s="134"/>
      <c r="W41" s="134"/>
      <c r="X41" s="134"/>
      <c r="Y41" s="134"/>
      <c r="Z41" s="134"/>
      <c r="AA41" s="134"/>
      <c r="AB41" s="134"/>
      <c r="AC41" s="134"/>
    </row>
    <row r="42" spans="1:29">
      <c r="A42" s="185"/>
      <c r="B42" s="730" t="s">
        <v>480</v>
      </c>
      <c r="C42" s="673"/>
      <c r="D42" s="735" t="s">
        <v>478</v>
      </c>
      <c r="E42" s="1501">
        <f>IF(ISBLANK(Data!C105),"",Data!C105)</f>
        <v>0</v>
      </c>
      <c r="F42" s="1501">
        <f>IF(ISBLANK(Data!C104),"",Data!C104)</f>
        <v>0</v>
      </c>
      <c r="G42" s="1505"/>
      <c r="H42" s="1601"/>
      <c r="I42" s="370"/>
      <c r="J42" s="185"/>
      <c r="K42" s="134"/>
      <c r="L42" s="134"/>
      <c r="M42" s="134"/>
      <c r="N42" s="134"/>
      <c r="O42" s="134"/>
      <c r="P42" s="134"/>
      <c r="Q42" s="134"/>
      <c r="R42" s="134"/>
      <c r="S42" s="134"/>
      <c r="T42" s="134"/>
      <c r="U42" s="134"/>
      <c r="V42" s="134"/>
      <c r="W42" s="134"/>
      <c r="X42" s="134"/>
      <c r="Y42" s="134"/>
      <c r="Z42" s="134"/>
      <c r="AA42" s="134"/>
      <c r="AB42" s="134"/>
      <c r="AC42" s="134"/>
    </row>
    <row r="43" spans="1:29">
      <c r="A43" s="185"/>
      <c r="B43" s="730" t="s">
        <v>481</v>
      </c>
      <c r="C43" s="673"/>
      <c r="D43" s="735" t="s">
        <v>482</v>
      </c>
      <c r="E43" s="1501">
        <f>Data!D105</f>
        <v>5017456</v>
      </c>
      <c r="F43" s="1501">
        <f>Data!D104</f>
        <v>5581435</v>
      </c>
      <c r="G43" s="1503">
        <f>IF(G42="",(IF(G40&gt;G41,G40,G41)),G42)</f>
        <v>5916997.1301642125</v>
      </c>
      <c r="H43" s="1503">
        <f>IF(H42="",(IF(H40&gt;H41,H40,H41)),H42)</f>
        <v>6437627.6916484153</v>
      </c>
      <c r="I43" s="370"/>
      <c r="J43" s="185"/>
      <c r="K43" s="134"/>
      <c r="L43" s="134"/>
      <c r="M43" s="134"/>
      <c r="N43" s="134"/>
      <c r="O43" s="134"/>
      <c r="P43" s="134"/>
      <c r="Q43" s="134"/>
      <c r="R43" s="134"/>
      <c r="S43" s="134"/>
      <c r="T43" s="134"/>
      <c r="U43" s="134"/>
      <c r="V43" s="134"/>
      <c r="W43" s="134"/>
      <c r="X43" s="134"/>
      <c r="Y43" s="134"/>
      <c r="Z43" s="134"/>
      <c r="AA43" s="134"/>
      <c r="AB43" s="134"/>
      <c r="AC43" s="134"/>
    </row>
    <row r="44" spans="1:29" ht="13.5" customHeight="1">
      <c r="A44" s="185"/>
      <c r="B44" s="730"/>
      <c r="C44" s="673"/>
      <c r="D44" s="673"/>
      <c r="E44" s="701"/>
      <c r="F44" s="701"/>
      <c r="G44" s="701"/>
      <c r="H44" s="701"/>
      <c r="I44" s="370"/>
      <c r="J44" s="185"/>
      <c r="K44" s="134"/>
      <c r="L44" s="134"/>
      <c r="M44" s="134"/>
      <c r="N44" s="134"/>
      <c r="O44" s="134"/>
      <c r="P44" s="134"/>
      <c r="Q44" s="134"/>
      <c r="R44" s="134"/>
      <c r="S44" s="134"/>
      <c r="T44" s="134"/>
      <c r="U44" s="134"/>
      <c r="V44" s="134"/>
      <c r="W44" s="134"/>
      <c r="X44" s="134"/>
      <c r="Y44" s="134"/>
      <c r="Z44" s="134"/>
      <c r="AA44" s="134"/>
      <c r="AB44" s="134"/>
      <c r="AC44" s="134"/>
    </row>
    <row r="45" spans="1:29">
      <c r="A45" s="185"/>
      <c r="B45" s="1511"/>
      <c r="C45" s="701"/>
      <c r="D45" s="701"/>
      <c r="E45" s="735" t="s">
        <v>8</v>
      </c>
      <c r="F45" s="735" t="s">
        <v>8</v>
      </c>
      <c r="G45" s="726" t="str">
        <f>G24</f>
        <v>Estimated</v>
      </c>
      <c r="H45" s="735" t="s">
        <v>396</v>
      </c>
      <c r="I45" s="370"/>
      <c r="J45" s="185"/>
      <c r="K45" s="134"/>
      <c r="L45" s="134"/>
      <c r="M45" s="134"/>
      <c r="N45" s="134"/>
      <c r="O45" s="134"/>
      <c r="P45" s="134"/>
      <c r="Q45" s="134"/>
      <c r="R45" s="134"/>
      <c r="S45" s="134"/>
      <c r="T45" s="134"/>
      <c r="U45" s="134"/>
      <c r="V45" s="134"/>
      <c r="W45" s="134"/>
      <c r="X45" s="134"/>
      <c r="Y45" s="134"/>
      <c r="Z45" s="134"/>
      <c r="AA45" s="134"/>
      <c r="AB45" s="134"/>
      <c r="AC45" s="134"/>
    </row>
    <row r="46" spans="1:29">
      <c r="A46" s="185"/>
      <c r="B46" s="730"/>
      <c r="C46" s="673"/>
      <c r="D46" s="673" t="s">
        <v>483</v>
      </c>
      <c r="E46" s="726">
        <f>E25</f>
        <v>2012</v>
      </c>
      <c r="F46" s="726">
        <f>F25</f>
        <v>2013</v>
      </c>
      <c r="G46" s="735">
        <f>G25</f>
        <v>2014</v>
      </c>
      <c r="H46" s="735">
        <f>H25</f>
        <v>2015</v>
      </c>
      <c r="I46" s="370"/>
      <c r="J46" s="185"/>
      <c r="K46" s="134"/>
      <c r="L46" s="134"/>
      <c r="M46" s="134"/>
      <c r="N46" s="134"/>
      <c r="O46" s="134"/>
      <c r="P46" s="134"/>
      <c r="Q46" s="134"/>
      <c r="R46" s="134"/>
      <c r="S46" s="134"/>
      <c r="T46" s="134"/>
      <c r="U46" s="134"/>
      <c r="V46" s="134"/>
      <c r="W46" s="134"/>
      <c r="X46" s="134"/>
      <c r="Y46" s="134"/>
      <c r="Z46" s="134"/>
      <c r="AA46" s="134"/>
      <c r="AB46" s="134"/>
      <c r="AC46" s="134"/>
    </row>
    <row r="47" spans="1:29">
      <c r="A47" s="185"/>
      <c r="B47" s="1512" t="s">
        <v>484</v>
      </c>
      <c r="C47" s="673"/>
      <c r="D47" s="736" t="s">
        <v>485</v>
      </c>
      <c r="E47" s="736" t="s">
        <v>253</v>
      </c>
      <c r="F47" s="736" t="s">
        <v>253</v>
      </c>
      <c r="G47" s="736" t="s">
        <v>253</v>
      </c>
      <c r="H47" s="736" t="s">
        <v>253</v>
      </c>
      <c r="I47" s="370"/>
      <c r="J47" s="185"/>
      <c r="K47" s="134"/>
      <c r="L47" s="134"/>
      <c r="M47" s="134"/>
      <c r="N47" s="134"/>
      <c r="O47" s="134"/>
      <c r="P47" s="134"/>
      <c r="Q47" s="134"/>
      <c r="R47" s="134"/>
      <c r="S47" s="134"/>
      <c r="T47" s="134"/>
      <c r="U47" s="134"/>
      <c r="V47" s="134"/>
      <c r="W47" s="134"/>
      <c r="X47" s="134"/>
      <c r="Y47" s="134"/>
      <c r="Z47" s="134"/>
      <c r="AA47" s="134"/>
      <c r="AB47" s="134"/>
      <c r="AC47" s="134"/>
    </row>
    <row r="48" spans="1:29">
      <c r="A48" s="185"/>
      <c r="B48" s="730" t="s">
        <v>486</v>
      </c>
      <c r="C48" s="673"/>
      <c r="D48" s="726" t="s">
        <v>487</v>
      </c>
      <c r="E48" s="1510">
        <f>Data!B100</f>
        <v>0.17399999999999999</v>
      </c>
      <c r="F48" s="1510">
        <f>Data!B99</f>
        <v>0.17399999999999999</v>
      </c>
      <c r="G48" s="1510">
        <f>F48*1.015</f>
        <v>0.17660999999999996</v>
      </c>
      <c r="H48" s="1510">
        <f>G48*1.015</f>
        <v>0.17925914999999995</v>
      </c>
      <c r="I48" s="370"/>
      <c r="J48" s="185"/>
      <c r="K48" s="134"/>
      <c r="L48" s="134"/>
      <c r="M48" s="134"/>
      <c r="N48" s="134"/>
      <c r="O48" s="134"/>
      <c r="P48" s="134"/>
      <c r="Q48" s="134"/>
      <c r="R48" s="134"/>
      <c r="S48" s="134"/>
      <c r="T48" s="134"/>
      <c r="U48" s="134"/>
      <c r="V48" s="134"/>
      <c r="W48" s="134"/>
      <c r="X48" s="134"/>
      <c r="Y48" s="134"/>
      <c r="Z48" s="134"/>
      <c r="AA48" s="134"/>
      <c r="AB48" s="134"/>
      <c r="AC48" s="134"/>
    </row>
    <row r="49" spans="1:29">
      <c r="A49" s="185"/>
      <c r="B49" s="730" t="s">
        <v>488</v>
      </c>
      <c r="C49" s="673"/>
      <c r="D49" s="726" t="s">
        <v>489</v>
      </c>
      <c r="E49" s="1510">
        <f>Data!C100</f>
        <v>2.8690000000000002</v>
      </c>
      <c r="F49" s="1510">
        <f>Data!C99</f>
        <v>2.9704999999999999</v>
      </c>
      <c r="G49" s="1510">
        <f t="shared" ref="G49:H52" si="0">F49*1.015</f>
        <v>3.0150574999999997</v>
      </c>
      <c r="H49" s="1510">
        <f t="shared" si="0"/>
        <v>3.0602833624999994</v>
      </c>
      <c r="I49" s="370"/>
      <c r="J49" s="185"/>
      <c r="K49" s="134"/>
      <c r="L49" s="134"/>
      <c r="M49" s="134"/>
      <c r="N49" s="134"/>
      <c r="O49" s="134"/>
      <c r="P49" s="134"/>
      <c r="Q49" s="134"/>
      <c r="R49" s="134"/>
      <c r="S49" s="134"/>
      <c r="T49" s="134"/>
      <c r="U49" s="134"/>
      <c r="V49" s="134"/>
      <c r="W49" s="134"/>
      <c r="X49" s="134"/>
      <c r="Y49" s="134"/>
      <c r="Z49" s="134"/>
      <c r="AA49" s="134"/>
      <c r="AB49" s="134"/>
      <c r="AC49" s="134"/>
    </row>
    <row r="50" spans="1:29">
      <c r="A50" s="185"/>
      <c r="B50" s="730" t="s">
        <v>490</v>
      </c>
      <c r="C50" s="673"/>
      <c r="D50" s="726" t="s">
        <v>491</v>
      </c>
      <c r="E50" s="1510">
        <f>Data!D100</f>
        <v>9.3080999999999996</v>
      </c>
      <c r="F50" s="1510">
        <f>Data!D99</f>
        <v>9.5074000000000005</v>
      </c>
      <c r="G50" s="1510">
        <f t="shared" si="0"/>
        <v>9.6500109999999992</v>
      </c>
      <c r="H50" s="1510">
        <f t="shared" si="0"/>
        <v>9.7947611649999988</v>
      </c>
      <c r="I50" s="370"/>
      <c r="J50" s="185"/>
      <c r="K50" s="134"/>
      <c r="L50" s="134"/>
      <c r="M50" s="134"/>
      <c r="N50" s="134"/>
      <c r="O50" s="134"/>
      <c r="P50" s="134"/>
      <c r="Q50" s="134"/>
      <c r="R50" s="134"/>
      <c r="S50" s="134"/>
      <c r="T50" s="134"/>
      <c r="U50" s="134"/>
      <c r="V50" s="134"/>
      <c r="W50" s="134"/>
      <c r="X50" s="134"/>
      <c r="Y50" s="134"/>
      <c r="Z50" s="134"/>
      <c r="AA50" s="134"/>
      <c r="AB50" s="134"/>
      <c r="AC50" s="134"/>
    </row>
    <row r="51" spans="1:29">
      <c r="A51" s="185"/>
      <c r="B51" s="730" t="s">
        <v>492</v>
      </c>
      <c r="C51" s="673"/>
      <c r="D51" s="726" t="s">
        <v>493</v>
      </c>
      <c r="E51" s="1510">
        <f>Data!E100</f>
        <v>11.798</v>
      </c>
      <c r="F51" s="1510">
        <f>Data!E99</f>
        <v>12.1557</v>
      </c>
      <c r="G51" s="1510">
        <f t="shared" si="0"/>
        <v>12.338035499999998</v>
      </c>
      <c r="H51" s="1510">
        <f t="shared" si="0"/>
        <v>12.523106032499998</v>
      </c>
      <c r="I51" s="370"/>
      <c r="J51" s="185"/>
      <c r="K51" s="134"/>
      <c r="L51" s="134"/>
      <c r="M51" s="134"/>
      <c r="N51" s="134"/>
      <c r="O51" s="134"/>
      <c r="P51" s="134"/>
      <c r="Q51" s="134"/>
      <c r="R51" s="134"/>
      <c r="S51" s="134"/>
      <c r="T51" s="134"/>
      <c r="U51" s="134"/>
      <c r="V51" s="134"/>
      <c r="W51" s="134"/>
      <c r="X51" s="134"/>
      <c r="Y51" s="134"/>
      <c r="Z51" s="134"/>
      <c r="AA51" s="134"/>
      <c r="AB51" s="134"/>
      <c r="AC51" s="134"/>
    </row>
    <row r="52" spans="1:29">
      <c r="A52" s="185"/>
      <c r="B52" s="730" t="s">
        <v>494</v>
      </c>
      <c r="C52" s="673"/>
      <c r="D52" s="726" t="s">
        <v>495</v>
      </c>
      <c r="E52" s="1510">
        <f>Data!F100</f>
        <v>1.861</v>
      </c>
      <c r="F52" s="1510">
        <f>Data!F99</f>
        <v>1.8869</v>
      </c>
      <c r="G52" s="1510">
        <f t="shared" si="0"/>
        <v>1.9152034999999998</v>
      </c>
      <c r="H52" s="1510">
        <f t="shared" si="0"/>
        <v>1.9439315524999996</v>
      </c>
      <c r="I52" s="370"/>
      <c r="J52" s="185"/>
      <c r="K52" s="134"/>
      <c r="L52" s="134"/>
      <c r="M52" s="134"/>
      <c r="N52" s="134"/>
      <c r="O52" s="134"/>
      <c r="P52" s="134"/>
      <c r="Q52" s="134"/>
      <c r="R52" s="134"/>
      <c r="S52" s="134"/>
      <c r="T52" s="134"/>
      <c r="U52" s="134"/>
      <c r="V52" s="134"/>
      <c r="W52" s="134"/>
      <c r="X52" s="134"/>
      <c r="Y52" s="134"/>
      <c r="Z52" s="134"/>
      <c r="AA52" s="134"/>
      <c r="AB52" s="134"/>
      <c r="AC52" s="134"/>
    </row>
    <row r="53" spans="1:29">
      <c r="A53" s="185"/>
      <c r="B53" s="730" t="s">
        <v>496</v>
      </c>
      <c r="C53" s="673"/>
      <c r="D53" s="726" t="s">
        <v>497</v>
      </c>
      <c r="E53" s="1510">
        <f>Data!G100</f>
        <v>0</v>
      </c>
      <c r="F53" s="1510">
        <f>Data!G99</f>
        <v>0</v>
      </c>
      <c r="G53" s="1510">
        <f>F53</f>
        <v>0</v>
      </c>
      <c r="H53" s="1513">
        <f>F53</f>
        <v>0</v>
      </c>
      <c r="I53" s="370"/>
      <c r="J53" s="185"/>
      <c r="K53" s="134"/>
      <c r="L53" s="134"/>
      <c r="M53" s="134"/>
      <c r="N53" s="134"/>
      <c r="O53" s="134"/>
      <c r="P53" s="134"/>
      <c r="Q53" s="134"/>
      <c r="R53" s="134"/>
      <c r="S53" s="134"/>
      <c r="T53" s="134"/>
      <c r="U53" s="134"/>
      <c r="V53" s="134"/>
      <c r="W53" s="134"/>
      <c r="X53" s="134"/>
      <c r="Y53" s="134"/>
      <c r="Z53" s="134"/>
      <c r="AA53" s="134"/>
      <c r="AB53" s="134"/>
      <c r="AC53" s="134"/>
    </row>
    <row r="54" spans="1:29">
      <c r="A54" s="185"/>
      <c r="B54" s="730" t="s">
        <v>498</v>
      </c>
      <c r="C54" s="673"/>
      <c r="D54" s="726" t="s">
        <v>499</v>
      </c>
      <c r="E54" s="1510">
        <f>Data!H100</f>
        <v>0</v>
      </c>
      <c r="F54" s="1510">
        <f>Data!H99</f>
        <v>0</v>
      </c>
      <c r="G54" s="1510">
        <f>F54</f>
        <v>0</v>
      </c>
      <c r="H54" s="1513">
        <f>F54</f>
        <v>0</v>
      </c>
      <c r="I54" s="370"/>
      <c r="J54" s="185"/>
      <c r="K54" s="134"/>
      <c r="L54" s="134"/>
      <c r="M54" s="134"/>
      <c r="N54" s="134"/>
      <c r="O54" s="134"/>
      <c r="P54" s="134"/>
      <c r="Q54" s="134"/>
      <c r="R54" s="134"/>
      <c r="S54" s="134"/>
      <c r="T54" s="134"/>
      <c r="U54" s="134"/>
      <c r="V54" s="134"/>
      <c r="W54" s="134"/>
      <c r="X54" s="134"/>
      <c r="Y54" s="134"/>
      <c r="Z54" s="134"/>
      <c r="AA54" s="134"/>
      <c r="AB54" s="134"/>
      <c r="AC54" s="134"/>
    </row>
    <row r="55" spans="1:29">
      <c r="A55" s="185"/>
      <c r="B55" s="730" t="s">
        <v>500</v>
      </c>
      <c r="C55" s="673"/>
      <c r="D55" s="726" t="s">
        <v>501</v>
      </c>
      <c r="E55" s="1509">
        <f>SUM(E48:E54)</f>
        <v>26.010099999999998</v>
      </c>
      <c r="F55" s="1509">
        <f>SUM(F48:F54)</f>
        <v>26.694500000000001</v>
      </c>
      <c r="G55" s="1509">
        <f>SUM(G48:G54)</f>
        <v>27.094917499999998</v>
      </c>
      <c r="H55" s="1509">
        <f>SUM(H48:H54)</f>
        <v>27.501341262499995</v>
      </c>
      <c r="I55" s="370"/>
      <c r="J55" s="185"/>
      <c r="K55" s="134"/>
      <c r="L55" s="134"/>
      <c r="M55" s="134"/>
      <c r="N55" s="134"/>
      <c r="O55" s="134"/>
      <c r="P55" s="134"/>
      <c r="Q55" s="134"/>
      <c r="R55" s="134"/>
      <c r="S55" s="134"/>
      <c r="T55" s="134"/>
      <c r="U55" s="134"/>
      <c r="V55" s="134"/>
      <c r="W55" s="134"/>
      <c r="X55" s="134"/>
      <c r="Y55" s="134"/>
      <c r="Z55" s="134"/>
      <c r="AA55" s="134"/>
      <c r="AB55" s="134"/>
      <c r="AC55" s="134"/>
    </row>
    <row r="56" spans="1:29">
      <c r="A56" s="185"/>
      <c r="B56" s="730" t="s">
        <v>1004</v>
      </c>
      <c r="C56" s="673"/>
      <c r="D56" s="726" t="s">
        <v>502</v>
      </c>
      <c r="E56" s="1510">
        <f>Data!I100</f>
        <v>1.8095000000000001</v>
      </c>
      <c r="F56" s="1510">
        <f>Data!I99</f>
        <v>1.8176000000000001</v>
      </c>
      <c r="G56" s="1510">
        <f>F56*1.015</f>
        <v>1.8448639999999998</v>
      </c>
      <c r="H56" s="1510">
        <f>G56*1.015</f>
        <v>1.8725369599999997</v>
      </c>
      <c r="I56" s="370"/>
      <c r="J56" s="185"/>
      <c r="K56" s="134"/>
      <c r="L56" s="134"/>
      <c r="M56" s="134"/>
      <c r="N56" s="134"/>
      <c r="O56" s="134"/>
      <c r="P56" s="134"/>
      <c r="Q56" s="134"/>
      <c r="R56" s="134"/>
      <c r="S56" s="134"/>
      <c r="T56" s="134"/>
      <c r="U56" s="134"/>
      <c r="V56" s="134"/>
      <c r="W56" s="134"/>
      <c r="X56" s="134"/>
      <c r="Y56" s="134"/>
      <c r="Z56" s="134"/>
      <c r="AA56" s="134"/>
      <c r="AB56" s="134"/>
      <c r="AC56" s="134"/>
    </row>
    <row r="57" spans="1:29">
      <c r="A57" s="185"/>
      <c r="B57" s="730" t="s">
        <v>503</v>
      </c>
      <c r="C57" s="673"/>
      <c r="D57" s="726" t="s">
        <v>504</v>
      </c>
      <c r="E57" s="1509">
        <f>E55-E56</f>
        <v>24.200599999999998</v>
      </c>
      <c r="F57" s="1509">
        <f>F55-F56</f>
        <v>24.876900000000003</v>
      </c>
      <c r="G57" s="1509">
        <f>G55-G56</f>
        <v>25.250053499999996</v>
      </c>
      <c r="H57" s="1509">
        <f>H55-H56</f>
        <v>25.628804302499994</v>
      </c>
      <c r="I57" s="370"/>
      <c r="J57" s="185"/>
      <c r="K57" s="134"/>
      <c r="L57" s="134"/>
      <c r="M57" s="134"/>
      <c r="N57" s="134"/>
      <c r="O57" s="134"/>
      <c r="P57" s="134"/>
      <c r="Q57" s="134"/>
      <c r="R57" s="134"/>
      <c r="S57" s="134"/>
      <c r="T57" s="134"/>
      <c r="U57" s="134"/>
      <c r="V57" s="134"/>
      <c r="W57" s="134"/>
      <c r="X57" s="134"/>
      <c r="Y57" s="134"/>
      <c r="Z57" s="134"/>
      <c r="AA57" s="134"/>
      <c r="AB57" s="134"/>
      <c r="AC57" s="134"/>
    </row>
    <row r="58" spans="1:29" ht="7.5" customHeight="1">
      <c r="A58" s="185"/>
      <c r="B58" s="730"/>
      <c r="C58" s="673"/>
      <c r="D58" s="673"/>
      <c r="E58" s="673"/>
      <c r="F58" s="673"/>
      <c r="G58" s="701"/>
      <c r="H58" s="701"/>
      <c r="I58" s="370"/>
      <c r="J58" s="185"/>
      <c r="K58" s="134"/>
      <c r="L58" s="134"/>
      <c r="M58" s="134"/>
      <c r="N58" s="134"/>
      <c r="O58" s="134"/>
      <c r="P58" s="134"/>
      <c r="Q58" s="134"/>
      <c r="R58" s="134"/>
      <c r="S58" s="134"/>
      <c r="T58" s="134"/>
      <c r="U58" s="134"/>
      <c r="V58" s="134"/>
      <c r="W58" s="134"/>
      <c r="X58" s="134"/>
      <c r="Y58" s="134"/>
      <c r="Z58" s="134"/>
      <c r="AA58" s="134"/>
      <c r="AB58" s="134"/>
      <c r="AC58" s="134"/>
    </row>
    <row r="59" spans="1:29">
      <c r="A59" s="185"/>
      <c r="B59" s="730"/>
      <c r="C59" s="673"/>
      <c r="D59" s="673"/>
      <c r="E59" s="736" t="s">
        <v>206</v>
      </c>
      <c r="F59" s="736" t="s">
        <v>206</v>
      </c>
      <c r="G59" s="736" t="s">
        <v>206</v>
      </c>
      <c r="H59" s="736" t="s">
        <v>206</v>
      </c>
      <c r="I59" s="370"/>
      <c r="J59" s="185"/>
      <c r="K59" s="134"/>
      <c r="L59" s="134"/>
      <c r="M59" s="134"/>
      <c r="N59" s="134"/>
      <c r="O59" s="134"/>
      <c r="P59" s="134"/>
      <c r="Q59" s="134"/>
      <c r="R59" s="134"/>
      <c r="S59" s="134"/>
      <c r="T59" s="134"/>
      <c r="U59" s="134"/>
      <c r="V59" s="134"/>
      <c r="W59" s="134"/>
      <c r="X59" s="134"/>
      <c r="Y59" s="134"/>
      <c r="Z59" s="134"/>
      <c r="AA59" s="134"/>
      <c r="AB59" s="134"/>
      <c r="AC59" s="134"/>
    </row>
    <row r="60" spans="1:29">
      <c r="A60" s="185"/>
      <c r="B60" s="730" t="s">
        <v>505</v>
      </c>
      <c r="C60" s="673"/>
      <c r="D60" s="726" t="s">
        <v>506</v>
      </c>
      <c r="E60" s="1509">
        <f t="shared" ref="E60:H63" si="1">E50</f>
        <v>9.3080999999999996</v>
      </c>
      <c r="F60" s="1509">
        <f t="shared" si="1"/>
        <v>9.5074000000000005</v>
      </c>
      <c r="G60" s="1509">
        <f t="shared" si="1"/>
        <v>9.6500109999999992</v>
      </c>
      <c r="H60" s="1509">
        <f t="shared" si="1"/>
        <v>9.7947611649999988</v>
      </c>
      <c r="I60" s="370"/>
      <c r="J60" s="185"/>
      <c r="K60" s="134"/>
      <c r="L60" s="134"/>
      <c r="M60" s="134"/>
      <c r="N60" s="134"/>
      <c r="O60" s="134"/>
      <c r="P60" s="134"/>
      <c r="Q60" s="134"/>
      <c r="R60" s="134"/>
      <c r="S60" s="134"/>
      <c r="T60" s="134"/>
      <c r="U60" s="134"/>
      <c r="V60" s="134"/>
      <c r="W60" s="134"/>
      <c r="X60" s="134"/>
      <c r="Y60" s="134"/>
      <c r="Z60" s="134"/>
      <c r="AA60" s="134"/>
      <c r="AB60" s="134"/>
      <c r="AC60" s="134"/>
    </row>
    <row r="61" spans="1:29">
      <c r="A61" s="185"/>
      <c r="B61" s="730" t="s">
        <v>507</v>
      </c>
      <c r="C61" s="673"/>
      <c r="D61" s="726" t="s">
        <v>508</v>
      </c>
      <c r="E61" s="1509">
        <f t="shared" si="1"/>
        <v>11.798</v>
      </c>
      <c r="F61" s="1509">
        <f t="shared" si="1"/>
        <v>12.1557</v>
      </c>
      <c r="G61" s="1509">
        <f t="shared" si="1"/>
        <v>12.338035499999998</v>
      </c>
      <c r="H61" s="1509">
        <f t="shared" si="1"/>
        <v>12.523106032499998</v>
      </c>
      <c r="I61" s="370"/>
      <c r="J61" s="185"/>
      <c r="K61" s="134"/>
      <c r="L61" s="134"/>
      <c r="M61" s="134"/>
      <c r="N61" s="134"/>
      <c r="O61" s="134"/>
      <c r="P61" s="134"/>
      <c r="Q61" s="134"/>
      <c r="R61" s="134"/>
      <c r="S61" s="134"/>
      <c r="T61" s="134"/>
      <c r="U61" s="134"/>
      <c r="V61" s="134"/>
      <c r="W61" s="134"/>
      <c r="X61" s="134"/>
      <c r="Y61" s="134"/>
      <c r="Z61" s="134"/>
      <c r="AA61" s="134"/>
      <c r="AB61" s="134"/>
      <c r="AC61" s="134"/>
    </row>
    <row r="62" spans="1:29">
      <c r="A62" s="185"/>
      <c r="B62" s="730" t="s">
        <v>509</v>
      </c>
      <c r="C62" s="673"/>
      <c r="D62" s="726" t="s">
        <v>510</v>
      </c>
      <c r="E62" s="1509">
        <f t="shared" si="1"/>
        <v>1.861</v>
      </c>
      <c r="F62" s="1509">
        <f t="shared" si="1"/>
        <v>1.8869</v>
      </c>
      <c r="G62" s="1509">
        <f t="shared" si="1"/>
        <v>1.9152034999999998</v>
      </c>
      <c r="H62" s="1509">
        <f t="shared" si="1"/>
        <v>1.9439315524999996</v>
      </c>
      <c r="I62" s="370"/>
      <c r="J62" s="185"/>
    </row>
    <row r="63" spans="1:29">
      <c r="A63" s="185"/>
      <c r="B63" s="730" t="s">
        <v>511</v>
      </c>
      <c r="C63" s="673"/>
      <c r="D63" s="726" t="s">
        <v>512</v>
      </c>
      <c r="E63" s="1509">
        <f t="shared" si="1"/>
        <v>0</v>
      </c>
      <c r="F63" s="1509">
        <f t="shared" si="1"/>
        <v>0</v>
      </c>
      <c r="G63" s="1509">
        <f t="shared" si="1"/>
        <v>0</v>
      </c>
      <c r="H63" s="1509">
        <f t="shared" si="1"/>
        <v>0</v>
      </c>
      <c r="I63" s="370"/>
      <c r="J63" s="185"/>
    </row>
    <row r="64" spans="1:29">
      <c r="A64" s="185"/>
      <c r="B64" s="730" t="s">
        <v>513</v>
      </c>
      <c r="C64" s="673"/>
      <c r="D64" s="726" t="s">
        <v>514</v>
      </c>
      <c r="E64" s="1509">
        <f>SUM(E60:E63)</f>
        <v>22.967099999999999</v>
      </c>
      <c r="F64" s="1509">
        <f>SUM(F60:F63)</f>
        <v>23.55</v>
      </c>
      <c r="G64" s="1509">
        <f>SUM(G60:G63)</f>
        <v>23.903249999999996</v>
      </c>
      <c r="H64" s="1509">
        <f>SUM(H60:H63)</f>
        <v>24.261798749999997</v>
      </c>
      <c r="I64" s="370"/>
      <c r="J64" s="185"/>
    </row>
    <row r="65" spans="1:15">
      <c r="A65" s="185"/>
      <c r="B65" s="730" t="s">
        <v>515</v>
      </c>
      <c r="C65" s="673"/>
      <c r="D65" s="726" t="s">
        <v>516</v>
      </c>
      <c r="E65" s="1509">
        <f>E55</f>
        <v>26.010099999999998</v>
      </c>
      <c r="F65" s="1509">
        <f>F55</f>
        <v>26.694500000000001</v>
      </c>
      <c r="G65" s="1509">
        <f>G55</f>
        <v>27.094917499999998</v>
      </c>
      <c r="H65" s="1509">
        <f>H55</f>
        <v>27.501341262499995</v>
      </c>
      <c r="I65" s="370"/>
      <c r="J65" s="185"/>
    </row>
    <row r="66" spans="1:15">
      <c r="A66" s="185"/>
      <c r="B66" s="730" t="s">
        <v>517</v>
      </c>
      <c r="C66" s="673"/>
      <c r="D66" s="673"/>
      <c r="E66" s="701"/>
      <c r="F66" s="701"/>
      <c r="G66" s="701"/>
      <c r="H66" s="701"/>
      <c r="I66" s="370"/>
      <c r="J66" s="185"/>
    </row>
    <row r="67" spans="1:15">
      <c r="A67" s="185"/>
      <c r="B67" s="730" t="s">
        <v>518</v>
      </c>
      <c r="C67" s="673"/>
      <c r="D67" s="726" t="s">
        <v>519</v>
      </c>
      <c r="E67" s="1514">
        <f>IF(E65=0,0,E64/E65)</f>
        <v>0.88300698574784409</v>
      </c>
      <c r="F67" s="1514">
        <f>IF(F65=0,0,F64/F65)</f>
        <v>0.88220419936691075</v>
      </c>
      <c r="G67" s="1514">
        <f>IF(G65=0,0,G64/G65)</f>
        <v>0.88220419936691075</v>
      </c>
      <c r="H67" s="1514">
        <f>IF(H65=0,0,H64/H65)</f>
        <v>0.88220419936691086</v>
      </c>
      <c r="I67" s="370"/>
      <c r="J67" s="185"/>
    </row>
    <row r="68" spans="1:15">
      <c r="A68" s="185"/>
      <c r="B68" s="730" t="s">
        <v>520</v>
      </c>
      <c r="C68" s="673"/>
      <c r="D68" s="726" t="s">
        <v>521</v>
      </c>
      <c r="E68" s="1509">
        <f>E57</f>
        <v>24.200599999999998</v>
      </c>
      <c r="F68" s="1509">
        <f>F57</f>
        <v>24.876900000000003</v>
      </c>
      <c r="G68" s="1509">
        <f>G57</f>
        <v>25.250053499999996</v>
      </c>
      <c r="H68" s="1509">
        <f>H57</f>
        <v>25.628804302499994</v>
      </c>
      <c r="I68" s="370"/>
      <c r="J68" s="185"/>
      <c r="M68" s="130"/>
    </row>
    <row r="69" spans="1:15">
      <c r="A69" s="185"/>
      <c r="B69" s="730" t="s">
        <v>522</v>
      </c>
      <c r="C69" s="673"/>
      <c r="D69" s="726" t="s">
        <v>523</v>
      </c>
      <c r="E69" s="1509">
        <f>E67*E68</f>
        <v>21.369298859289273</v>
      </c>
      <c r="F69" s="1509">
        <f>F67*F68</f>
        <v>21.946505647230705</v>
      </c>
      <c r="G69" s="1509">
        <f>G67*G68</f>
        <v>22.275703231939158</v>
      </c>
      <c r="H69" s="1509">
        <f>H67*H68</f>
        <v>22.609838780418247</v>
      </c>
      <c r="I69" s="370"/>
      <c r="J69" s="185"/>
      <c r="M69" s="130"/>
    </row>
    <row r="70" spans="1:15">
      <c r="A70" s="185"/>
      <c r="B70" s="730"/>
      <c r="C70" s="673"/>
      <c r="D70" s="673"/>
      <c r="E70" s="673"/>
      <c r="F70" s="673"/>
      <c r="G70" s="673"/>
      <c r="H70" s="673"/>
      <c r="I70" s="370"/>
      <c r="J70" s="185"/>
      <c r="M70" s="130"/>
    </row>
    <row r="71" spans="1:15">
      <c r="A71" s="185"/>
      <c r="B71" s="373"/>
      <c r="C71" s="344"/>
      <c r="D71" s="344"/>
      <c r="E71" s="344"/>
      <c r="F71" s="344"/>
      <c r="G71" s="344"/>
      <c r="H71" s="344"/>
      <c r="I71" s="370"/>
      <c r="J71" s="185"/>
      <c r="M71" s="130"/>
      <c r="O71" s="130"/>
    </row>
    <row r="72" spans="1:15">
      <c r="A72" s="185"/>
      <c r="B72" s="373"/>
      <c r="C72" s="344"/>
      <c r="D72" s="344"/>
      <c r="E72" s="344"/>
      <c r="F72" s="344"/>
      <c r="G72" s="344"/>
      <c r="H72" s="344"/>
      <c r="I72" s="370"/>
      <c r="J72" s="185"/>
    </row>
    <row r="73" spans="1:15" ht="13.5" thickBot="1">
      <c r="A73" s="185"/>
      <c r="B73" s="384"/>
      <c r="C73" s="385"/>
      <c r="D73" s="385"/>
      <c r="E73" s="385"/>
      <c r="F73" s="385"/>
      <c r="G73" s="385"/>
      <c r="H73" s="385"/>
      <c r="I73" s="386"/>
      <c r="J73" s="185"/>
    </row>
    <row r="74" spans="1:15" ht="13.5" thickTop="1">
      <c r="A74" s="185"/>
      <c r="B74" s="185"/>
      <c r="C74" s="185"/>
      <c r="D74" s="185"/>
      <c r="E74" s="185"/>
      <c r="F74" s="185"/>
      <c r="G74" s="185"/>
      <c r="H74" s="185"/>
      <c r="I74" s="185"/>
      <c r="J74" s="185"/>
    </row>
    <row r="75" spans="1:15">
      <c r="A75" s="185"/>
      <c r="B75" s="185"/>
      <c r="C75" s="185"/>
      <c r="D75" s="185"/>
      <c r="E75" s="185"/>
      <c r="F75" s="185"/>
      <c r="G75" s="185"/>
      <c r="H75" s="185"/>
      <c r="I75" s="185"/>
      <c r="J75" s="185"/>
    </row>
    <row r="76" spans="1:15">
      <c r="A76" s="185"/>
      <c r="B76" s="185"/>
      <c r="C76" s="185"/>
      <c r="D76" s="185"/>
      <c r="E76" s="185"/>
      <c r="F76" s="185"/>
      <c r="G76" s="185"/>
      <c r="H76" s="185"/>
      <c r="I76" s="185"/>
      <c r="J76" s="185"/>
    </row>
    <row r="77" spans="1:15">
      <c r="A77" s="185"/>
      <c r="B77" s="185"/>
      <c r="C77" s="185"/>
      <c r="D77" s="185"/>
      <c r="E77" s="185"/>
      <c r="F77" s="185"/>
      <c r="G77" s="185"/>
      <c r="H77" s="185"/>
      <c r="I77" s="185"/>
      <c r="J77" s="185"/>
    </row>
    <row r="78" spans="1:15">
      <c r="A78" s="185"/>
      <c r="B78" s="185"/>
      <c r="C78" s="185"/>
      <c r="D78" s="185"/>
      <c r="E78" s="185"/>
      <c r="F78" s="185"/>
      <c r="G78" s="185"/>
      <c r="H78" s="185"/>
      <c r="I78" s="185"/>
      <c r="J78" s="185"/>
    </row>
    <row r="79" spans="1:15">
      <c r="A79" s="185"/>
      <c r="B79" s="185"/>
      <c r="C79" s="185"/>
      <c r="D79" s="185"/>
      <c r="E79" s="185"/>
      <c r="F79" s="185"/>
      <c r="G79" s="185"/>
      <c r="H79" s="185"/>
      <c r="I79" s="185"/>
      <c r="J79" s="185"/>
    </row>
    <row r="80" spans="1:15">
      <c r="A80" s="185"/>
      <c r="B80" s="185"/>
      <c r="C80" s="185"/>
      <c r="D80" s="185"/>
      <c r="E80" s="185"/>
      <c r="F80" s="185"/>
      <c r="G80" s="185"/>
      <c r="H80" s="185"/>
      <c r="I80" s="185"/>
      <c r="J80" s="185"/>
    </row>
    <row r="81" spans="1:10">
      <c r="A81" s="185"/>
      <c r="B81" s="185"/>
      <c r="C81" s="185"/>
      <c r="D81" s="185"/>
      <c r="E81" s="185"/>
      <c r="F81" s="185"/>
      <c r="G81" s="185"/>
      <c r="H81" s="185"/>
      <c r="I81" s="185"/>
      <c r="J81" s="185"/>
    </row>
    <row r="82" spans="1:10">
      <c r="A82" s="185"/>
      <c r="B82" s="185"/>
      <c r="C82" s="185"/>
      <c r="D82" s="185"/>
      <c r="E82" s="185"/>
      <c r="F82" s="185"/>
      <c r="G82" s="185"/>
      <c r="H82" s="185"/>
      <c r="I82" s="185"/>
      <c r="J82" s="185"/>
    </row>
  </sheetData>
  <mergeCells count="3">
    <mergeCell ref="B3:H3"/>
    <mergeCell ref="B5:H5"/>
    <mergeCell ref="B6:H6"/>
  </mergeCells>
  <conditionalFormatting sqref="G33 G35 G48:G54 H48:H52 G56:H56">
    <cfRule type="expression" dxfId="32" priority="1" stopIfTrue="1">
      <formula>$G$24="Estimated"</formula>
    </cfRule>
  </conditionalFormatting>
  <dataValidations count="2">
    <dataValidation allowBlank="1" showInputMessage="1" showErrorMessage="1" prompt="If &quot;Major Plant Additions in Test Year&quot; above includes any plant located outside the municipal limits, then also include that amount in the total in this cell." sqref="H33"/>
    <dataValidation allowBlank="1" showInputMessage="1" showErrorMessage="1" error="Amount must be LESS THAN  the higher of the current year calculation or 1994 payable in 1995 OR cell MUST BE BLANK." prompt="Leave cell BLANK unless the Municipality has approved an amount less than the higher tax equivalent for the current year or 1994 payable in 1995." sqref="G42:H42"/>
  </dataValidations>
  <printOptions horizontalCentered="1"/>
  <pageMargins left="0" right="0" top="0" bottom="0" header="0" footer="0"/>
  <pageSetup scale="69" orientation="portrait" blackAndWhite="1" r:id="rId1"/>
  <headerFooter alignWithMargins="0"/>
  <rowBreaks count="2" manualBreakCount="2">
    <brk id="44" max="9" man="1"/>
    <brk id="69" max="65535" man="1"/>
  </rowBreaks>
  <legacyDrawing r:id="rId2"/>
</worksheet>
</file>

<file path=xl/worksheets/sheet2.xml><?xml version="1.0" encoding="utf-8"?>
<worksheet xmlns="http://schemas.openxmlformats.org/spreadsheetml/2006/main" xmlns:r="http://schemas.openxmlformats.org/officeDocument/2006/relationships">
  <sheetPr codeName="Sheet6"/>
  <dimension ref="A1:AE269"/>
  <sheetViews>
    <sheetView workbookViewId="0">
      <selection activeCell="X1" sqref="X1"/>
    </sheetView>
  </sheetViews>
  <sheetFormatPr defaultColWidth="8.85546875" defaultRowHeight="12.75"/>
  <cols>
    <col min="1" max="1" width="11.140625" style="8" bestFit="1" customWidth="1"/>
    <col min="2" max="2" width="13.7109375" style="9" customWidth="1"/>
    <col min="3" max="3" width="12.28515625" style="1" customWidth="1"/>
    <col min="4" max="5" width="9.140625" style="1" customWidth="1"/>
    <col min="6" max="6" width="10.140625" style="1" bestFit="1" customWidth="1"/>
    <col min="7" max="7" width="11.7109375" style="1" bestFit="1" customWidth="1"/>
    <col min="8" max="8" width="10.28515625" style="1" customWidth="1"/>
    <col min="9" max="11" width="9.140625" style="1" customWidth="1"/>
    <col min="12" max="12" width="12.7109375" style="1" customWidth="1"/>
    <col min="13" max="13" width="9.140625" style="1" customWidth="1"/>
    <col min="14" max="14" width="8.85546875" style="1" customWidth="1"/>
    <col min="15" max="15" width="22.28515625" style="1" bestFit="1" customWidth="1"/>
    <col min="16" max="24" width="8.85546875" style="1" customWidth="1"/>
    <col min="25" max="16384" width="8.85546875" style="1"/>
  </cols>
  <sheetData>
    <row r="1" spans="1:24" ht="15">
      <c r="A1" t="s">
        <v>1136</v>
      </c>
      <c r="B1">
        <v>2011</v>
      </c>
      <c r="C1">
        <v>2012</v>
      </c>
      <c r="D1">
        <v>2013</v>
      </c>
      <c r="E1">
        <v>2014</v>
      </c>
      <c r="F1">
        <v>3280</v>
      </c>
      <c r="G1" t="s">
        <v>1121</v>
      </c>
      <c r="H1" t="s">
        <v>1122</v>
      </c>
      <c r="I1"/>
      <c r="J1"/>
      <c r="K1"/>
      <c r="L1"/>
      <c r="M1"/>
      <c r="N1"/>
      <c r="O1"/>
      <c r="P1"/>
      <c r="Q1"/>
      <c r="R1"/>
      <c r="S1"/>
      <c r="T1"/>
      <c r="X1" s="1">
        <v>2011</v>
      </c>
    </row>
    <row r="2" spans="1:24" ht="15">
      <c r="A2" t="s">
        <v>1137</v>
      </c>
      <c r="B2">
        <v>0</v>
      </c>
      <c r="C2">
        <v>0</v>
      </c>
      <c r="D2">
        <v>0</v>
      </c>
      <c r="E2">
        <v>0</v>
      </c>
      <c r="F2"/>
      <c r="G2" t="s">
        <v>1123</v>
      </c>
      <c r="H2">
        <v>3280</v>
      </c>
      <c r="I2"/>
      <c r="J2"/>
      <c r="K2"/>
      <c r="L2"/>
      <c r="M2"/>
      <c r="N2"/>
      <c r="O2"/>
      <c r="P2"/>
      <c r="Q2"/>
      <c r="R2"/>
      <c r="S2"/>
      <c r="T2"/>
      <c r="X2" s="1">
        <v>2012</v>
      </c>
    </row>
    <row r="3" spans="1:24" ht="15">
      <c r="A3" t="s">
        <v>1138</v>
      </c>
      <c r="B3">
        <v>84361</v>
      </c>
      <c r="C3">
        <v>110945</v>
      </c>
      <c r="D3">
        <v>72497</v>
      </c>
      <c r="E3">
        <v>0</v>
      </c>
      <c r="F3"/>
      <c r="G3" t="s">
        <v>6</v>
      </c>
      <c r="H3">
        <v>2015</v>
      </c>
      <c r="I3"/>
      <c r="J3"/>
      <c r="K3"/>
      <c r="L3"/>
      <c r="M3"/>
      <c r="N3"/>
      <c r="O3"/>
      <c r="P3"/>
      <c r="Q3"/>
      <c r="R3"/>
      <c r="S3"/>
      <c r="T3"/>
      <c r="X3" s="1">
        <v>2013</v>
      </c>
    </row>
    <row r="4" spans="1:24" ht="15">
      <c r="A4" t="s">
        <v>1139</v>
      </c>
      <c r="B4">
        <v>0</v>
      </c>
      <c r="C4">
        <v>0</v>
      </c>
      <c r="D4">
        <v>0</v>
      </c>
      <c r="E4">
        <v>0</v>
      </c>
      <c r="F4"/>
      <c r="G4" t="s">
        <v>7</v>
      </c>
      <c r="H4" t="s">
        <v>1120</v>
      </c>
      <c r="I4"/>
      <c r="J4"/>
      <c r="K4"/>
      <c r="L4"/>
      <c r="M4"/>
      <c r="N4"/>
      <c r="O4"/>
      <c r="P4"/>
      <c r="Q4"/>
      <c r="R4"/>
      <c r="S4"/>
      <c r="T4"/>
    </row>
    <row r="5" spans="1:24" ht="15">
      <c r="A5" t="s">
        <v>1140</v>
      </c>
      <c r="B5">
        <v>0</v>
      </c>
      <c r="C5">
        <v>0</v>
      </c>
      <c r="D5">
        <v>0</v>
      </c>
      <c r="E5">
        <v>0</v>
      </c>
      <c r="F5"/>
      <c r="G5" t="s">
        <v>1124</v>
      </c>
      <c r="H5" t="s">
        <v>577</v>
      </c>
      <c r="I5"/>
      <c r="J5"/>
      <c r="K5"/>
      <c r="L5"/>
      <c r="M5"/>
      <c r="N5"/>
      <c r="O5"/>
      <c r="P5"/>
      <c r="Q5"/>
      <c r="R5"/>
      <c r="S5"/>
      <c r="T5"/>
    </row>
    <row r="6" spans="1:24" ht="15">
      <c r="A6" t="s">
        <v>1126</v>
      </c>
      <c r="B6">
        <v>11276176</v>
      </c>
      <c r="C6">
        <v>12545053</v>
      </c>
      <c r="D6">
        <v>11124051</v>
      </c>
      <c r="E6">
        <v>0</v>
      </c>
      <c r="F6"/>
      <c r="G6"/>
      <c r="H6"/>
      <c r="I6"/>
      <c r="J6"/>
      <c r="K6"/>
      <c r="L6"/>
      <c r="M6"/>
      <c r="N6"/>
      <c r="O6"/>
      <c r="P6"/>
      <c r="Q6"/>
      <c r="R6"/>
      <c r="S6"/>
      <c r="T6"/>
    </row>
    <row r="7" spans="1:24" ht="15">
      <c r="A7" t="s">
        <v>1127</v>
      </c>
      <c r="B7">
        <v>8728065</v>
      </c>
      <c r="C7">
        <v>9231997</v>
      </c>
      <c r="D7">
        <v>4156373</v>
      </c>
      <c r="E7">
        <v>0</v>
      </c>
      <c r="F7"/>
      <c r="G7"/>
      <c r="H7"/>
      <c r="I7"/>
      <c r="J7"/>
      <c r="K7"/>
      <c r="L7"/>
      <c r="M7"/>
      <c r="N7"/>
      <c r="O7"/>
      <c r="P7"/>
      <c r="Q7"/>
      <c r="R7"/>
      <c r="S7"/>
      <c r="T7"/>
    </row>
    <row r="8" spans="1:24" ht="15">
      <c r="A8" t="s">
        <v>1129</v>
      </c>
      <c r="B8">
        <v>1281860</v>
      </c>
      <c r="C8">
        <v>1136010</v>
      </c>
      <c r="D8">
        <v>1153442</v>
      </c>
      <c r="E8">
        <v>0</v>
      </c>
      <c r="F8"/>
      <c r="G8"/>
      <c r="H8"/>
      <c r="I8"/>
      <c r="J8"/>
      <c r="K8"/>
      <c r="L8"/>
      <c r="M8"/>
      <c r="N8"/>
      <c r="O8"/>
      <c r="P8"/>
      <c r="Q8"/>
      <c r="R8"/>
      <c r="S8"/>
      <c r="T8"/>
    </row>
    <row r="9" spans="1:24" ht="15">
      <c r="A9" t="s">
        <v>1130</v>
      </c>
      <c r="B9">
        <v>2721500</v>
      </c>
      <c r="C9">
        <v>2814579</v>
      </c>
      <c r="D9">
        <v>2834934</v>
      </c>
      <c r="E9">
        <v>0</v>
      </c>
      <c r="F9"/>
      <c r="G9" t="s">
        <v>1136</v>
      </c>
      <c r="H9">
        <v>2011</v>
      </c>
      <c r="I9">
        <v>2012</v>
      </c>
      <c r="J9">
        <v>2013</v>
      </c>
      <c r="K9">
        <v>2014</v>
      </c>
      <c r="L9"/>
      <c r="M9"/>
      <c r="N9"/>
      <c r="O9"/>
      <c r="P9"/>
      <c r="Q9"/>
      <c r="R9"/>
      <c r="S9"/>
      <c r="T9"/>
    </row>
    <row r="10" spans="1:24" ht="15">
      <c r="A10" t="s">
        <v>1141</v>
      </c>
      <c r="B10">
        <v>368866</v>
      </c>
      <c r="C10">
        <v>367791</v>
      </c>
      <c r="D10">
        <v>377184</v>
      </c>
      <c r="E10">
        <v>0</v>
      </c>
      <c r="F10"/>
      <c r="G10" t="s">
        <v>1150</v>
      </c>
      <c r="H10">
        <v>0</v>
      </c>
      <c r="I10">
        <v>0</v>
      </c>
      <c r="J10">
        <v>0</v>
      </c>
      <c r="K10">
        <v>0</v>
      </c>
      <c r="L10"/>
      <c r="M10"/>
      <c r="N10"/>
      <c r="O10"/>
      <c r="P10"/>
      <c r="Q10"/>
      <c r="R10"/>
      <c r="S10"/>
      <c r="T10"/>
    </row>
    <row r="11" spans="1:24" ht="15">
      <c r="A11" t="s">
        <v>1142</v>
      </c>
      <c r="B11">
        <v>2891812</v>
      </c>
      <c r="C11">
        <v>2873140</v>
      </c>
      <c r="D11">
        <v>2925698</v>
      </c>
      <c r="E11">
        <v>0</v>
      </c>
      <c r="F11"/>
      <c r="G11" t="s">
        <v>1151</v>
      </c>
      <c r="H11">
        <v>0</v>
      </c>
      <c r="I11">
        <v>0</v>
      </c>
      <c r="J11">
        <v>0</v>
      </c>
      <c r="K11">
        <v>0</v>
      </c>
      <c r="L11"/>
      <c r="M11"/>
      <c r="N11"/>
      <c r="O11"/>
      <c r="P11"/>
      <c r="Q11"/>
      <c r="R11"/>
      <c r="S11"/>
      <c r="T11"/>
    </row>
    <row r="12" spans="1:24" ht="15">
      <c r="A12" t="s">
        <v>1143</v>
      </c>
      <c r="B12">
        <v>0</v>
      </c>
      <c r="C12">
        <v>0</v>
      </c>
      <c r="D12">
        <v>0</v>
      </c>
      <c r="E12">
        <v>0</v>
      </c>
      <c r="F12"/>
      <c r="G12" t="s">
        <v>1152</v>
      </c>
      <c r="H12">
        <v>0</v>
      </c>
      <c r="I12">
        <v>0</v>
      </c>
      <c r="J12">
        <v>4728127</v>
      </c>
      <c r="K12">
        <v>0</v>
      </c>
      <c r="L12"/>
      <c r="M12"/>
      <c r="N12"/>
      <c r="O12"/>
      <c r="P12"/>
      <c r="Q12"/>
      <c r="R12"/>
      <c r="S12"/>
      <c r="T12"/>
    </row>
    <row r="13" spans="1:24" ht="15">
      <c r="A13" t="s">
        <v>1144</v>
      </c>
      <c r="B13">
        <v>357400</v>
      </c>
      <c r="C13">
        <v>330242</v>
      </c>
      <c r="D13">
        <v>344064</v>
      </c>
      <c r="E13">
        <v>0</v>
      </c>
      <c r="F13"/>
      <c r="G13" t="s">
        <v>1153</v>
      </c>
      <c r="H13">
        <v>0</v>
      </c>
      <c r="I13">
        <v>0</v>
      </c>
      <c r="J13">
        <v>0</v>
      </c>
      <c r="K13">
        <v>0</v>
      </c>
      <c r="L13"/>
      <c r="M13"/>
      <c r="N13"/>
      <c r="O13"/>
      <c r="P13"/>
      <c r="Q13"/>
      <c r="R13"/>
      <c r="S13"/>
      <c r="T13"/>
    </row>
    <row r="14" spans="1:24" ht="15">
      <c r="A14" t="s">
        <v>1145</v>
      </c>
      <c r="B14">
        <v>0</v>
      </c>
      <c r="C14">
        <v>0</v>
      </c>
      <c r="D14">
        <v>0</v>
      </c>
      <c r="E14">
        <v>0</v>
      </c>
      <c r="F14"/>
      <c r="G14"/>
      <c r="H14"/>
      <c r="I14"/>
      <c r="J14"/>
      <c r="K14"/>
      <c r="L14"/>
      <c r="M14"/>
      <c r="N14"/>
      <c r="O14"/>
      <c r="P14"/>
      <c r="Q14"/>
      <c r="R14"/>
      <c r="S14"/>
      <c r="T14"/>
    </row>
    <row r="15" spans="1:24" ht="15">
      <c r="A15" t="s">
        <v>1146</v>
      </c>
      <c r="B15">
        <v>279237</v>
      </c>
      <c r="C15">
        <v>262111</v>
      </c>
      <c r="D15">
        <v>260382</v>
      </c>
      <c r="E15">
        <v>0</v>
      </c>
      <c r="F15"/>
      <c r="G15"/>
      <c r="H15"/>
      <c r="I15"/>
      <c r="J15"/>
      <c r="K15"/>
      <c r="L15"/>
      <c r="M15"/>
      <c r="N15"/>
      <c r="O15"/>
      <c r="P15"/>
      <c r="Q15"/>
      <c r="R15"/>
      <c r="S15"/>
      <c r="T15"/>
    </row>
    <row r="16" spans="1:24" ht="15">
      <c r="A16" t="s">
        <v>1147</v>
      </c>
      <c r="B16">
        <v>261294</v>
      </c>
      <c r="C16">
        <v>261211</v>
      </c>
      <c r="D16">
        <v>395803</v>
      </c>
      <c r="E16">
        <v>0</v>
      </c>
      <c r="F16"/>
      <c r="G16"/>
      <c r="H16"/>
      <c r="I16"/>
      <c r="J16"/>
      <c r="K16"/>
      <c r="L16"/>
      <c r="M16"/>
      <c r="N16"/>
      <c r="O16"/>
      <c r="P16"/>
      <c r="Q16"/>
      <c r="R16"/>
      <c r="S16"/>
      <c r="T16"/>
    </row>
    <row r="17" spans="1:20" ht="15">
      <c r="A17" t="s">
        <v>1148</v>
      </c>
      <c r="B17">
        <v>0</v>
      </c>
      <c r="C17">
        <v>0</v>
      </c>
      <c r="D17">
        <v>0</v>
      </c>
      <c r="E17">
        <v>0</v>
      </c>
      <c r="F17"/>
      <c r="G17"/>
      <c r="H17"/>
      <c r="I17"/>
      <c r="J17"/>
      <c r="K17"/>
      <c r="L17"/>
      <c r="M17"/>
      <c r="N17"/>
      <c r="O17"/>
      <c r="P17"/>
      <c r="Q17"/>
      <c r="R17"/>
      <c r="S17"/>
      <c r="T17"/>
    </row>
    <row r="18" spans="1:20" ht="15">
      <c r="A18" t="s">
        <v>1149</v>
      </c>
      <c r="B18">
        <v>201006</v>
      </c>
      <c r="C18">
        <v>274119</v>
      </c>
      <c r="D18">
        <v>549727</v>
      </c>
      <c r="E18">
        <v>0</v>
      </c>
      <c r="F18"/>
      <c r="G18"/>
      <c r="H18"/>
      <c r="I18"/>
      <c r="J18"/>
      <c r="K18"/>
      <c r="L18"/>
      <c r="M18"/>
      <c r="N18"/>
      <c r="O18"/>
      <c r="P18"/>
      <c r="Q18"/>
      <c r="R18"/>
      <c r="S18"/>
      <c r="T18"/>
    </row>
    <row r="19" spans="1:20" ht="15">
      <c r="A19"/>
      <c r="B19"/>
      <c r="C19"/>
      <c r="D19"/>
      <c r="E19"/>
      <c r="F19"/>
      <c r="G19"/>
      <c r="H19"/>
      <c r="I19"/>
      <c r="J19"/>
      <c r="K19"/>
      <c r="L19"/>
      <c r="M19"/>
      <c r="N19"/>
      <c r="O19"/>
      <c r="P19"/>
      <c r="Q19"/>
      <c r="R19"/>
      <c r="S19"/>
      <c r="T19"/>
    </row>
    <row r="20" spans="1:20" ht="15">
      <c r="A20" t="s">
        <v>1173</v>
      </c>
      <c r="B20">
        <v>2011</v>
      </c>
      <c r="C20">
        <v>2012</v>
      </c>
      <c r="D20">
        <v>2013</v>
      </c>
      <c r="E20">
        <v>2014</v>
      </c>
      <c r="F20"/>
      <c r="G20"/>
      <c r="H20"/>
      <c r="I20"/>
      <c r="J20"/>
      <c r="K20"/>
      <c r="L20"/>
      <c r="M20"/>
      <c r="N20"/>
      <c r="O20"/>
      <c r="P20"/>
      <c r="Q20"/>
      <c r="R20"/>
      <c r="S20"/>
      <c r="T20"/>
    </row>
    <row r="21" spans="1:20" ht="15">
      <c r="A21" t="s">
        <v>1174</v>
      </c>
      <c r="B21">
        <v>0</v>
      </c>
      <c r="C21">
        <v>0</v>
      </c>
      <c r="D21">
        <v>0</v>
      </c>
      <c r="E21">
        <v>0</v>
      </c>
      <c r="F21"/>
      <c r="G21"/>
      <c r="H21"/>
      <c r="I21"/>
      <c r="J21"/>
      <c r="K21"/>
      <c r="L21"/>
      <c r="M21"/>
      <c r="N21"/>
      <c r="O21"/>
      <c r="P21"/>
      <c r="Q21"/>
      <c r="R21"/>
      <c r="S21"/>
      <c r="T21"/>
    </row>
    <row r="22" spans="1:20" ht="15">
      <c r="A22" t="s">
        <v>1175</v>
      </c>
      <c r="B22">
        <v>0</v>
      </c>
      <c r="C22">
        <v>0</v>
      </c>
      <c r="D22">
        <v>0</v>
      </c>
      <c r="E22">
        <v>0</v>
      </c>
      <c r="F22"/>
      <c r="G22"/>
      <c r="H22"/>
      <c r="I22"/>
      <c r="J22"/>
      <c r="K22"/>
      <c r="L22"/>
      <c r="M22"/>
      <c r="N22"/>
      <c r="O22"/>
      <c r="P22"/>
      <c r="Q22"/>
      <c r="R22"/>
      <c r="S22"/>
      <c r="T22"/>
    </row>
    <row r="23" spans="1:20" ht="15">
      <c r="A23" t="s">
        <v>1176</v>
      </c>
      <c r="B23">
        <v>0</v>
      </c>
      <c r="C23">
        <v>0</v>
      </c>
      <c r="D23">
        <v>0</v>
      </c>
      <c r="E23">
        <v>0</v>
      </c>
      <c r="F23"/>
      <c r="G23"/>
      <c r="H23"/>
      <c r="I23"/>
      <c r="J23"/>
      <c r="K23"/>
      <c r="L23"/>
      <c r="M23"/>
      <c r="N23"/>
      <c r="O23"/>
      <c r="P23"/>
      <c r="Q23"/>
      <c r="R23"/>
      <c r="S23"/>
      <c r="T23"/>
    </row>
    <row r="24" spans="1:20" ht="15">
      <c r="A24" t="s">
        <v>1177</v>
      </c>
      <c r="B24">
        <v>0</v>
      </c>
      <c r="C24">
        <v>0</v>
      </c>
      <c r="D24">
        <v>0</v>
      </c>
      <c r="E24">
        <v>0</v>
      </c>
      <c r="F24"/>
      <c r="G24"/>
      <c r="H24"/>
      <c r="I24"/>
      <c r="J24"/>
      <c r="K24"/>
      <c r="L24"/>
      <c r="M24"/>
      <c r="N24"/>
      <c r="O24"/>
      <c r="P24"/>
      <c r="Q24"/>
      <c r="R24"/>
      <c r="S24"/>
      <c r="T24"/>
    </row>
    <row r="25" spans="1:20" ht="15">
      <c r="A25" t="s">
        <v>1178</v>
      </c>
      <c r="B25">
        <v>0</v>
      </c>
      <c r="C25">
        <v>0</v>
      </c>
      <c r="D25">
        <v>0</v>
      </c>
      <c r="E25">
        <v>0</v>
      </c>
      <c r="F25"/>
      <c r="G25"/>
      <c r="H25"/>
      <c r="I25"/>
      <c r="J25"/>
      <c r="K25"/>
      <c r="L25"/>
      <c r="M25"/>
      <c r="N25"/>
      <c r="O25"/>
      <c r="P25"/>
      <c r="Q25"/>
      <c r="R25"/>
      <c r="S25"/>
      <c r="T25"/>
    </row>
    <row r="26" spans="1:20" ht="15">
      <c r="A26" t="s">
        <v>1179</v>
      </c>
      <c r="B26">
        <v>22773</v>
      </c>
      <c r="C26">
        <v>25376</v>
      </c>
      <c r="D26">
        <v>16620</v>
      </c>
      <c r="E26">
        <v>0</v>
      </c>
      <c r="F26"/>
      <c r="G26"/>
      <c r="H26"/>
      <c r="I26"/>
      <c r="J26"/>
      <c r="K26"/>
      <c r="L26"/>
      <c r="M26"/>
      <c r="N26"/>
      <c r="O26"/>
      <c r="P26"/>
      <c r="Q26"/>
      <c r="R26"/>
      <c r="S26"/>
      <c r="T26"/>
    </row>
    <row r="27" spans="1:20" ht="15">
      <c r="A27" t="s">
        <v>1180</v>
      </c>
      <c r="B27">
        <v>0</v>
      </c>
      <c r="C27">
        <v>0</v>
      </c>
      <c r="D27">
        <v>0</v>
      </c>
      <c r="E27">
        <v>0</v>
      </c>
      <c r="F27"/>
      <c r="G27"/>
      <c r="H27"/>
      <c r="I27"/>
      <c r="J27"/>
      <c r="K27"/>
      <c r="L27"/>
      <c r="M27"/>
      <c r="N27"/>
      <c r="O27"/>
      <c r="P27"/>
      <c r="Q27"/>
      <c r="R27"/>
      <c r="S27"/>
      <c r="T27"/>
    </row>
    <row r="28" spans="1:20" ht="15">
      <c r="A28" t="s">
        <v>1181</v>
      </c>
      <c r="B28">
        <v>54512</v>
      </c>
      <c r="C28">
        <v>34631</v>
      </c>
      <c r="D28">
        <v>43467</v>
      </c>
      <c r="E28">
        <v>0</v>
      </c>
      <c r="F28"/>
      <c r="G28"/>
      <c r="H28"/>
      <c r="I28"/>
      <c r="J28"/>
      <c r="K28"/>
      <c r="L28"/>
      <c r="M28"/>
      <c r="N28"/>
      <c r="O28"/>
      <c r="P28"/>
      <c r="Q28"/>
      <c r="R28"/>
      <c r="S28"/>
      <c r="T28"/>
    </row>
    <row r="29" spans="1:20" ht="15">
      <c r="A29" t="s">
        <v>1182</v>
      </c>
      <c r="B29">
        <v>0</v>
      </c>
      <c r="C29">
        <v>0</v>
      </c>
      <c r="D29">
        <v>0</v>
      </c>
      <c r="E29">
        <v>0</v>
      </c>
      <c r="F29"/>
      <c r="G29"/>
      <c r="H29"/>
      <c r="I29"/>
      <c r="J29"/>
      <c r="K29"/>
      <c r="L29"/>
      <c r="M29"/>
      <c r="N29"/>
      <c r="O29"/>
      <c r="P29"/>
      <c r="Q29"/>
      <c r="R29"/>
      <c r="S29"/>
      <c r="T29"/>
    </row>
    <row r="30" spans="1:20" ht="15">
      <c r="A30" t="s">
        <v>1183</v>
      </c>
      <c r="B30">
        <v>114386</v>
      </c>
      <c r="C30">
        <v>0</v>
      </c>
      <c r="D30">
        <v>469</v>
      </c>
      <c r="E30">
        <v>0</v>
      </c>
      <c r="F30"/>
      <c r="G30"/>
      <c r="H30"/>
      <c r="I30"/>
      <c r="J30"/>
      <c r="K30"/>
      <c r="L30"/>
      <c r="M30"/>
      <c r="N30"/>
      <c r="O30"/>
      <c r="P30"/>
      <c r="Q30"/>
      <c r="R30"/>
      <c r="S30"/>
      <c r="T30"/>
    </row>
    <row r="31" spans="1:20" ht="15">
      <c r="A31" t="s">
        <v>1184</v>
      </c>
      <c r="B31">
        <v>0</v>
      </c>
      <c r="C31">
        <v>0</v>
      </c>
      <c r="D31">
        <v>0</v>
      </c>
      <c r="E31">
        <v>0</v>
      </c>
      <c r="F31"/>
      <c r="G31"/>
      <c r="H31"/>
      <c r="I31"/>
      <c r="J31"/>
      <c r="K31"/>
      <c r="L31"/>
      <c r="M31"/>
      <c r="N31"/>
      <c r="O31"/>
      <c r="P31"/>
      <c r="Q31"/>
      <c r="R31"/>
      <c r="S31"/>
      <c r="T31"/>
    </row>
    <row r="32" spans="1:20" ht="15">
      <c r="A32" t="s">
        <v>1185</v>
      </c>
      <c r="B32">
        <v>904</v>
      </c>
      <c r="C32">
        <v>10895</v>
      </c>
      <c r="D32">
        <v>3319</v>
      </c>
      <c r="E32">
        <v>0</v>
      </c>
      <c r="F32"/>
      <c r="G32"/>
      <c r="H32"/>
      <c r="I32"/>
      <c r="J32"/>
      <c r="K32"/>
      <c r="L32"/>
      <c r="M32"/>
      <c r="N32"/>
      <c r="O32"/>
      <c r="P32"/>
      <c r="Q32"/>
      <c r="R32"/>
      <c r="S32"/>
      <c r="T32"/>
    </row>
    <row r="33" spans="1:20" ht="15">
      <c r="A33" t="s">
        <v>1186</v>
      </c>
      <c r="B33">
        <v>69862</v>
      </c>
      <c r="C33">
        <v>62744</v>
      </c>
      <c r="D33">
        <v>67225</v>
      </c>
      <c r="E33">
        <v>0</v>
      </c>
      <c r="F33"/>
      <c r="G33"/>
      <c r="H33"/>
      <c r="I33"/>
      <c r="J33"/>
      <c r="K33"/>
      <c r="L33"/>
      <c r="M33"/>
      <c r="N33"/>
      <c r="O33"/>
      <c r="P33"/>
      <c r="Q33"/>
      <c r="R33"/>
      <c r="S33"/>
      <c r="T33"/>
    </row>
    <row r="34" spans="1:20" ht="15">
      <c r="A34" t="s">
        <v>1187</v>
      </c>
      <c r="B34">
        <v>0</v>
      </c>
      <c r="C34">
        <v>0</v>
      </c>
      <c r="D34">
        <v>0</v>
      </c>
      <c r="E34">
        <v>0</v>
      </c>
      <c r="F34"/>
      <c r="G34"/>
      <c r="H34"/>
      <c r="I34"/>
      <c r="J34"/>
      <c r="K34"/>
      <c r="L34"/>
      <c r="M34"/>
      <c r="N34"/>
      <c r="O34"/>
      <c r="P34"/>
      <c r="Q34"/>
      <c r="R34"/>
      <c r="S34"/>
      <c r="T34"/>
    </row>
    <row r="35" spans="1:20" ht="15">
      <c r="A35" t="s">
        <v>1188</v>
      </c>
      <c r="B35">
        <v>0</v>
      </c>
      <c r="C35">
        <v>0</v>
      </c>
      <c r="D35">
        <v>0</v>
      </c>
      <c r="E35">
        <v>0</v>
      </c>
      <c r="F35"/>
      <c r="G35"/>
      <c r="H35"/>
      <c r="I35"/>
      <c r="J35"/>
      <c r="K35"/>
      <c r="L35"/>
      <c r="M35"/>
      <c r="N35"/>
      <c r="O35"/>
      <c r="P35"/>
      <c r="Q35"/>
      <c r="R35"/>
      <c r="S35"/>
      <c r="T35"/>
    </row>
    <row r="36" spans="1:20" ht="15">
      <c r="A36" t="s">
        <v>1189</v>
      </c>
      <c r="B36">
        <v>2216402</v>
      </c>
      <c r="C36">
        <v>2315334</v>
      </c>
      <c r="D36">
        <v>2333071</v>
      </c>
      <c r="E36">
        <v>0</v>
      </c>
      <c r="F36"/>
      <c r="G36"/>
      <c r="H36"/>
      <c r="I36"/>
      <c r="J36"/>
      <c r="K36"/>
      <c r="L36"/>
      <c r="M36"/>
      <c r="N36"/>
      <c r="O36"/>
      <c r="P36"/>
      <c r="Q36"/>
      <c r="R36"/>
      <c r="S36"/>
      <c r="T36"/>
    </row>
    <row r="37" spans="1:20" ht="15">
      <c r="A37" t="s">
        <v>1190</v>
      </c>
      <c r="B37">
        <v>322793</v>
      </c>
      <c r="C37">
        <v>336127</v>
      </c>
      <c r="D37">
        <v>344876</v>
      </c>
      <c r="E37">
        <v>0</v>
      </c>
      <c r="F37"/>
      <c r="G37"/>
      <c r="H37"/>
      <c r="I37"/>
      <c r="J37"/>
      <c r="K37"/>
      <c r="L37"/>
      <c r="M37"/>
      <c r="N37"/>
      <c r="O37"/>
      <c r="P37"/>
      <c r="Q37"/>
      <c r="R37"/>
      <c r="S37"/>
      <c r="T37"/>
    </row>
    <row r="38" spans="1:20" ht="15">
      <c r="A38" t="s">
        <v>1191</v>
      </c>
      <c r="B38">
        <v>0</v>
      </c>
      <c r="C38">
        <v>0</v>
      </c>
      <c r="D38">
        <v>0</v>
      </c>
      <c r="E38">
        <v>0</v>
      </c>
      <c r="F38"/>
      <c r="G38"/>
      <c r="H38"/>
      <c r="I38"/>
      <c r="J38"/>
      <c r="K38"/>
      <c r="L38"/>
      <c r="M38"/>
      <c r="N38"/>
      <c r="O38"/>
      <c r="P38"/>
      <c r="Q38"/>
      <c r="R38"/>
      <c r="S38"/>
      <c r="T38"/>
    </row>
    <row r="39" spans="1:20" ht="15">
      <c r="A39" t="s">
        <v>1192</v>
      </c>
      <c r="B39">
        <v>366150</v>
      </c>
      <c r="C39">
        <v>361343</v>
      </c>
      <c r="D39">
        <v>412934</v>
      </c>
      <c r="E39">
        <v>0</v>
      </c>
      <c r="F39"/>
      <c r="G39"/>
      <c r="H39"/>
      <c r="I39"/>
      <c r="J39"/>
      <c r="K39"/>
      <c r="L39"/>
      <c r="M39"/>
      <c r="N39"/>
      <c r="O39"/>
      <c r="P39"/>
      <c r="Q39"/>
      <c r="R39"/>
      <c r="S39"/>
      <c r="T39"/>
    </row>
    <row r="40" spans="1:20" ht="15">
      <c r="A40" t="s">
        <v>1193</v>
      </c>
      <c r="B40">
        <v>0</v>
      </c>
      <c r="C40">
        <v>0</v>
      </c>
      <c r="D40">
        <v>0</v>
      </c>
      <c r="E40">
        <v>0</v>
      </c>
      <c r="F40"/>
      <c r="G40"/>
      <c r="H40"/>
      <c r="I40"/>
      <c r="J40"/>
      <c r="K40"/>
      <c r="L40"/>
      <c r="M40"/>
      <c r="N40"/>
      <c r="O40"/>
      <c r="P40"/>
      <c r="Q40"/>
      <c r="R40"/>
      <c r="S40"/>
      <c r="T40"/>
    </row>
    <row r="41" spans="1:20" ht="15">
      <c r="A41" t="s">
        <v>1194</v>
      </c>
      <c r="B41">
        <v>66157</v>
      </c>
      <c r="C41">
        <v>70113</v>
      </c>
      <c r="D41">
        <v>44182</v>
      </c>
      <c r="E41">
        <v>0</v>
      </c>
      <c r="F41"/>
      <c r="G41"/>
      <c r="H41"/>
      <c r="I41"/>
      <c r="J41"/>
      <c r="K41"/>
      <c r="L41"/>
      <c r="M41"/>
      <c r="N41"/>
      <c r="O41"/>
      <c r="P41"/>
      <c r="Q41"/>
      <c r="R41"/>
      <c r="S41"/>
      <c r="T41"/>
    </row>
    <row r="42" spans="1:20" ht="15">
      <c r="A42" t="s">
        <v>1195</v>
      </c>
      <c r="B42">
        <v>108754</v>
      </c>
      <c r="C42">
        <v>98671</v>
      </c>
      <c r="D42">
        <v>177991</v>
      </c>
      <c r="E42">
        <v>0</v>
      </c>
      <c r="F42"/>
      <c r="G42"/>
      <c r="H42"/>
      <c r="I42"/>
      <c r="J42"/>
      <c r="K42"/>
      <c r="L42"/>
      <c r="M42"/>
      <c r="N42"/>
      <c r="O42"/>
      <c r="P42"/>
      <c r="Q42"/>
      <c r="R42"/>
      <c r="S42"/>
      <c r="T42"/>
    </row>
    <row r="43" spans="1:20" ht="15">
      <c r="A43" t="s">
        <v>1196</v>
      </c>
      <c r="B43">
        <v>0</v>
      </c>
      <c r="C43">
        <v>0</v>
      </c>
      <c r="D43">
        <v>0</v>
      </c>
      <c r="E43">
        <v>0</v>
      </c>
      <c r="F43"/>
      <c r="G43"/>
      <c r="H43"/>
      <c r="I43"/>
      <c r="J43"/>
      <c r="K43"/>
      <c r="L43"/>
      <c r="M43"/>
      <c r="N43"/>
      <c r="O43"/>
      <c r="P43"/>
      <c r="Q43"/>
      <c r="R43"/>
      <c r="S43"/>
      <c r="T43"/>
    </row>
    <row r="44" spans="1:20" ht="15">
      <c r="A44" t="s">
        <v>1197</v>
      </c>
      <c r="B44">
        <v>327475</v>
      </c>
      <c r="C44">
        <v>350310</v>
      </c>
      <c r="D44">
        <v>224007</v>
      </c>
      <c r="E44">
        <v>0</v>
      </c>
      <c r="F44"/>
      <c r="G44"/>
      <c r="H44"/>
      <c r="I44"/>
      <c r="J44"/>
      <c r="K44"/>
      <c r="L44"/>
      <c r="M44"/>
      <c r="N44"/>
      <c r="O44"/>
      <c r="P44"/>
      <c r="Q44"/>
      <c r="R44"/>
      <c r="S44"/>
      <c r="T44"/>
    </row>
    <row r="45" spans="1:20" ht="15">
      <c r="A45" t="s">
        <v>1198</v>
      </c>
      <c r="B45">
        <v>72507</v>
      </c>
      <c r="C45">
        <v>73942</v>
      </c>
      <c r="D45">
        <v>75029</v>
      </c>
      <c r="E45">
        <v>0</v>
      </c>
      <c r="F45"/>
      <c r="G45"/>
      <c r="H45"/>
      <c r="I45"/>
      <c r="J45"/>
      <c r="K45"/>
      <c r="L45"/>
      <c r="M45"/>
      <c r="N45"/>
      <c r="O45"/>
      <c r="P45"/>
      <c r="Q45"/>
      <c r="R45"/>
      <c r="S45"/>
      <c r="T45"/>
    </row>
    <row r="46" spans="1:20" ht="15">
      <c r="A46" t="s">
        <v>1199</v>
      </c>
      <c r="B46">
        <v>177728</v>
      </c>
      <c r="C46">
        <v>167490</v>
      </c>
      <c r="D46">
        <v>164135</v>
      </c>
      <c r="E46">
        <v>0</v>
      </c>
      <c r="F46"/>
      <c r="G46"/>
      <c r="H46"/>
      <c r="I46"/>
      <c r="J46"/>
      <c r="K46"/>
      <c r="L46"/>
      <c r="M46"/>
      <c r="N46"/>
      <c r="O46"/>
      <c r="P46"/>
      <c r="Q46"/>
      <c r="R46"/>
      <c r="S46"/>
      <c r="T46"/>
    </row>
    <row r="47" spans="1:20" ht="15">
      <c r="A47" t="s">
        <v>1200</v>
      </c>
      <c r="B47">
        <v>409390</v>
      </c>
      <c r="C47">
        <v>371279</v>
      </c>
      <c r="D47">
        <v>293905</v>
      </c>
      <c r="E47">
        <v>0</v>
      </c>
      <c r="F47"/>
      <c r="G47"/>
      <c r="H47"/>
      <c r="I47"/>
      <c r="J47"/>
      <c r="K47"/>
      <c r="L47"/>
      <c r="M47"/>
      <c r="N47"/>
      <c r="O47"/>
      <c r="P47"/>
      <c r="Q47"/>
      <c r="R47"/>
      <c r="S47"/>
      <c r="T47"/>
    </row>
    <row r="48" spans="1:20" ht="15">
      <c r="A48" t="s">
        <v>1201</v>
      </c>
      <c r="B48">
        <v>9896</v>
      </c>
      <c r="C48">
        <v>8837</v>
      </c>
      <c r="D48">
        <v>103312</v>
      </c>
      <c r="E48">
        <v>0</v>
      </c>
      <c r="F48"/>
      <c r="G48"/>
      <c r="H48"/>
      <c r="I48"/>
      <c r="J48"/>
      <c r="K48"/>
      <c r="L48"/>
      <c r="M48"/>
      <c r="N48"/>
      <c r="O48"/>
      <c r="P48"/>
      <c r="Q48"/>
      <c r="R48"/>
      <c r="S48"/>
      <c r="T48"/>
    </row>
    <row r="49" spans="1:20" ht="15">
      <c r="A49" t="s">
        <v>1202</v>
      </c>
      <c r="B49">
        <v>0</v>
      </c>
      <c r="C49">
        <v>0</v>
      </c>
      <c r="D49">
        <v>0</v>
      </c>
      <c r="E49">
        <v>0</v>
      </c>
      <c r="F49"/>
      <c r="G49"/>
      <c r="H49"/>
      <c r="I49"/>
      <c r="J49"/>
      <c r="K49"/>
      <c r="L49"/>
      <c r="M49"/>
      <c r="N49"/>
      <c r="O49"/>
      <c r="P49"/>
      <c r="Q49"/>
      <c r="R49"/>
      <c r="S49"/>
      <c r="T49"/>
    </row>
    <row r="50" spans="1:20" ht="15">
      <c r="A50" t="s">
        <v>1203</v>
      </c>
      <c r="B50">
        <v>22790</v>
      </c>
      <c r="C50">
        <v>25046</v>
      </c>
      <c r="D50">
        <v>21027</v>
      </c>
      <c r="E50">
        <v>0</v>
      </c>
      <c r="F50"/>
      <c r="G50"/>
      <c r="H50"/>
      <c r="I50"/>
      <c r="J50"/>
      <c r="K50"/>
      <c r="L50"/>
      <c r="M50"/>
      <c r="N50"/>
      <c r="O50"/>
      <c r="P50"/>
      <c r="Q50"/>
      <c r="R50"/>
      <c r="S50"/>
      <c r="T50"/>
    </row>
    <row r="51" spans="1:20" ht="15">
      <c r="A51" t="s">
        <v>1204</v>
      </c>
      <c r="B51">
        <v>0</v>
      </c>
      <c r="C51">
        <v>0</v>
      </c>
      <c r="D51">
        <v>0</v>
      </c>
      <c r="E51">
        <v>0</v>
      </c>
      <c r="F51"/>
      <c r="G51"/>
      <c r="H51"/>
      <c r="I51"/>
      <c r="J51"/>
      <c r="K51"/>
      <c r="L51"/>
      <c r="M51"/>
      <c r="N51"/>
      <c r="O51"/>
      <c r="P51"/>
      <c r="Q51"/>
      <c r="R51"/>
      <c r="S51"/>
      <c r="T51"/>
    </row>
    <row r="52" spans="1:20" ht="15">
      <c r="A52" t="s">
        <v>1205</v>
      </c>
      <c r="B52">
        <v>70298</v>
      </c>
      <c r="C52">
        <v>101883</v>
      </c>
      <c r="D52">
        <v>117636</v>
      </c>
      <c r="E52">
        <v>0</v>
      </c>
      <c r="F52"/>
      <c r="G52"/>
      <c r="H52"/>
      <c r="I52"/>
      <c r="J52"/>
      <c r="K52"/>
      <c r="L52"/>
      <c r="M52"/>
      <c r="N52"/>
      <c r="O52"/>
      <c r="P52"/>
      <c r="Q52"/>
      <c r="R52"/>
      <c r="S52"/>
      <c r="T52"/>
    </row>
    <row r="53" spans="1:20" ht="15">
      <c r="A53" t="s">
        <v>1206</v>
      </c>
      <c r="B53">
        <v>219530</v>
      </c>
      <c r="C53">
        <v>237542</v>
      </c>
      <c r="D53">
        <v>234384</v>
      </c>
      <c r="E53">
        <v>0</v>
      </c>
      <c r="F53"/>
      <c r="G53"/>
      <c r="H53"/>
      <c r="I53"/>
      <c r="J53"/>
      <c r="K53"/>
      <c r="L53"/>
      <c r="M53"/>
      <c r="N53"/>
      <c r="O53"/>
      <c r="P53"/>
      <c r="Q53"/>
      <c r="R53"/>
      <c r="S53"/>
      <c r="T53"/>
    </row>
    <row r="54" spans="1:20" ht="15">
      <c r="A54" t="s">
        <v>1207</v>
      </c>
      <c r="B54">
        <v>81690</v>
      </c>
      <c r="C54">
        <v>87445</v>
      </c>
      <c r="D54">
        <v>90347</v>
      </c>
      <c r="E54">
        <v>0</v>
      </c>
      <c r="F54"/>
      <c r="G54"/>
      <c r="H54"/>
      <c r="I54"/>
      <c r="J54"/>
      <c r="K54"/>
      <c r="L54"/>
      <c r="M54"/>
      <c r="N54"/>
      <c r="O54"/>
      <c r="P54"/>
      <c r="Q54"/>
      <c r="R54"/>
      <c r="S54"/>
      <c r="T54"/>
    </row>
    <row r="55" spans="1:20" ht="15">
      <c r="A55" t="s">
        <v>1208</v>
      </c>
      <c r="B55">
        <v>376706</v>
      </c>
      <c r="C55">
        <v>295263</v>
      </c>
      <c r="D55">
        <v>363697</v>
      </c>
      <c r="E55">
        <v>0</v>
      </c>
      <c r="F55"/>
      <c r="G55"/>
      <c r="H55"/>
      <c r="I55"/>
      <c r="J55"/>
      <c r="K55"/>
      <c r="L55"/>
      <c r="M55"/>
      <c r="N55"/>
      <c r="O55"/>
      <c r="P55"/>
      <c r="Q55"/>
      <c r="R55"/>
      <c r="S55"/>
      <c r="T55"/>
    </row>
    <row r="56" spans="1:20" ht="15">
      <c r="A56" t="s">
        <v>1209</v>
      </c>
      <c r="B56">
        <v>62900</v>
      </c>
      <c r="C56">
        <v>85525</v>
      </c>
      <c r="D56">
        <v>59520</v>
      </c>
      <c r="E56">
        <v>0</v>
      </c>
      <c r="F56"/>
      <c r="G56"/>
      <c r="H56"/>
      <c r="I56"/>
      <c r="J56"/>
      <c r="K56"/>
      <c r="L56"/>
      <c r="M56"/>
      <c r="N56"/>
      <c r="O56"/>
      <c r="P56"/>
      <c r="Q56"/>
      <c r="R56"/>
      <c r="S56"/>
      <c r="T56"/>
    </row>
    <row r="57" spans="1:20" ht="15">
      <c r="A57" t="s">
        <v>1210</v>
      </c>
      <c r="B57">
        <v>243586</v>
      </c>
      <c r="C57">
        <v>265757</v>
      </c>
      <c r="D57">
        <v>274957</v>
      </c>
      <c r="E57">
        <v>0</v>
      </c>
      <c r="F57"/>
      <c r="G57"/>
      <c r="H57"/>
      <c r="I57"/>
      <c r="J57"/>
      <c r="K57"/>
      <c r="L57"/>
      <c r="M57"/>
      <c r="N57"/>
      <c r="O57"/>
      <c r="P57"/>
      <c r="Q57"/>
      <c r="R57"/>
      <c r="S57"/>
      <c r="T57"/>
    </row>
    <row r="58" spans="1:20" ht="15">
      <c r="A58" t="s">
        <v>1211</v>
      </c>
      <c r="B58">
        <v>625895</v>
      </c>
      <c r="C58">
        <v>725110</v>
      </c>
      <c r="D58">
        <v>672744</v>
      </c>
      <c r="E58">
        <v>0</v>
      </c>
      <c r="F58"/>
      <c r="G58"/>
      <c r="H58"/>
      <c r="I58"/>
      <c r="J58"/>
      <c r="K58"/>
      <c r="L58"/>
      <c r="M58"/>
      <c r="N58"/>
      <c r="O58"/>
      <c r="P58"/>
      <c r="Q58"/>
      <c r="R58"/>
      <c r="S58"/>
      <c r="T58"/>
    </row>
    <row r="59" spans="1:20" ht="15">
      <c r="A59" t="s">
        <v>1212</v>
      </c>
      <c r="B59">
        <v>0</v>
      </c>
      <c r="C59">
        <v>0</v>
      </c>
      <c r="D59">
        <v>0</v>
      </c>
      <c r="E59">
        <v>0</v>
      </c>
      <c r="F59"/>
      <c r="G59"/>
      <c r="H59"/>
      <c r="I59"/>
      <c r="J59"/>
      <c r="K59"/>
      <c r="L59"/>
      <c r="M59"/>
      <c r="N59"/>
      <c r="O59"/>
      <c r="P59"/>
      <c r="Q59"/>
      <c r="R59"/>
      <c r="S59"/>
      <c r="T59"/>
    </row>
    <row r="60" spans="1:20" ht="15">
      <c r="A60" t="s">
        <v>1213</v>
      </c>
      <c r="B60">
        <v>0</v>
      </c>
      <c r="C60">
        <v>0</v>
      </c>
      <c r="D60">
        <v>0</v>
      </c>
      <c r="E60">
        <v>0</v>
      </c>
      <c r="F60"/>
      <c r="G60"/>
      <c r="H60"/>
      <c r="I60"/>
      <c r="J60"/>
      <c r="K60"/>
      <c r="L60"/>
      <c r="M60"/>
      <c r="N60"/>
      <c r="O60"/>
      <c r="P60"/>
      <c r="Q60"/>
      <c r="R60"/>
      <c r="S60"/>
      <c r="T60"/>
    </row>
    <row r="61" spans="1:20" ht="15">
      <c r="A61" t="s">
        <v>1214</v>
      </c>
      <c r="B61">
        <v>0</v>
      </c>
      <c r="C61">
        <v>0</v>
      </c>
      <c r="D61">
        <v>0</v>
      </c>
      <c r="E61">
        <v>0</v>
      </c>
      <c r="F61"/>
      <c r="G61"/>
      <c r="H61"/>
      <c r="I61"/>
      <c r="J61"/>
      <c r="K61"/>
      <c r="L61"/>
      <c r="M61"/>
      <c r="N61"/>
      <c r="O61"/>
      <c r="P61"/>
      <c r="Q61"/>
      <c r="R61"/>
      <c r="S61"/>
      <c r="T61"/>
    </row>
    <row r="62" spans="1:20" ht="15">
      <c r="A62" t="s">
        <v>1215</v>
      </c>
      <c r="B62">
        <v>7700</v>
      </c>
      <c r="C62">
        <v>13164</v>
      </c>
      <c r="D62">
        <v>13430</v>
      </c>
      <c r="E62">
        <v>0</v>
      </c>
      <c r="F62"/>
      <c r="G62"/>
      <c r="H62"/>
      <c r="I62"/>
      <c r="J62"/>
      <c r="K62"/>
      <c r="L62"/>
      <c r="M62"/>
      <c r="N62"/>
      <c r="O62"/>
      <c r="P62"/>
      <c r="Q62"/>
      <c r="R62"/>
      <c r="S62"/>
      <c r="T62"/>
    </row>
    <row r="63" spans="1:20" ht="15">
      <c r="A63" t="s">
        <v>1216</v>
      </c>
      <c r="B63">
        <v>2231213</v>
      </c>
      <c r="C63">
        <v>1694048</v>
      </c>
      <c r="D63">
        <v>1949074</v>
      </c>
      <c r="E63">
        <v>0</v>
      </c>
      <c r="F63"/>
      <c r="G63"/>
      <c r="H63"/>
      <c r="I63"/>
      <c r="J63"/>
      <c r="K63"/>
      <c r="L63"/>
      <c r="M63"/>
      <c r="N63"/>
      <c r="O63"/>
      <c r="P63"/>
      <c r="Q63"/>
      <c r="R63"/>
      <c r="S63"/>
      <c r="T63"/>
    </row>
    <row r="64" spans="1:20" ht="15">
      <c r="A64" t="s">
        <v>1217</v>
      </c>
      <c r="B64">
        <v>1403056</v>
      </c>
      <c r="C64">
        <v>1291440</v>
      </c>
      <c r="D64">
        <v>1576188</v>
      </c>
      <c r="E64">
        <v>0</v>
      </c>
      <c r="F64"/>
      <c r="G64"/>
      <c r="H64"/>
      <c r="I64"/>
      <c r="J64"/>
      <c r="K64"/>
      <c r="L64"/>
      <c r="M64"/>
      <c r="N64"/>
      <c r="O64"/>
      <c r="P64"/>
      <c r="Q64"/>
      <c r="R64"/>
      <c r="S64"/>
      <c r="T64"/>
    </row>
    <row r="65" spans="1:20" ht="15">
      <c r="A65" t="s">
        <v>1218</v>
      </c>
      <c r="B65">
        <v>158781</v>
      </c>
      <c r="C65">
        <v>92592</v>
      </c>
      <c r="D65">
        <v>36787</v>
      </c>
      <c r="E65">
        <v>0</v>
      </c>
      <c r="F65"/>
      <c r="G65"/>
      <c r="H65"/>
      <c r="I65"/>
      <c r="J65"/>
      <c r="K65"/>
      <c r="L65"/>
      <c r="M65"/>
      <c r="N65"/>
      <c r="O65"/>
      <c r="P65"/>
      <c r="Q65"/>
      <c r="R65"/>
      <c r="S65"/>
      <c r="T65"/>
    </row>
    <row r="66" spans="1:20" ht="15">
      <c r="A66" t="s">
        <v>1219</v>
      </c>
      <c r="B66">
        <v>343002</v>
      </c>
      <c r="C66">
        <v>360634</v>
      </c>
      <c r="D66">
        <v>330510</v>
      </c>
      <c r="E66">
        <v>0</v>
      </c>
      <c r="F66"/>
      <c r="G66"/>
      <c r="H66"/>
      <c r="I66"/>
      <c r="J66"/>
      <c r="K66"/>
      <c r="L66"/>
      <c r="M66"/>
      <c r="N66"/>
      <c r="O66"/>
      <c r="P66"/>
      <c r="Q66"/>
      <c r="R66"/>
      <c r="S66"/>
      <c r="T66"/>
    </row>
    <row r="67" spans="1:20" ht="15">
      <c r="A67" t="s">
        <v>1220</v>
      </c>
      <c r="B67">
        <v>0</v>
      </c>
      <c r="C67">
        <v>0</v>
      </c>
      <c r="D67">
        <v>0</v>
      </c>
      <c r="E67">
        <v>0</v>
      </c>
      <c r="F67"/>
      <c r="G67"/>
      <c r="H67"/>
      <c r="I67"/>
      <c r="J67"/>
      <c r="K67"/>
      <c r="L67"/>
      <c r="M67"/>
      <c r="N67"/>
      <c r="O67"/>
      <c r="P67"/>
      <c r="Q67"/>
      <c r="R67"/>
      <c r="S67"/>
      <c r="T67"/>
    </row>
    <row r="68" spans="1:20" ht="15">
      <c r="A68" t="s">
        <v>1221</v>
      </c>
      <c r="B68">
        <v>19283</v>
      </c>
      <c r="C68">
        <v>22417</v>
      </c>
      <c r="D68">
        <v>26535</v>
      </c>
      <c r="E68">
        <v>0</v>
      </c>
      <c r="F68"/>
      <c r="G68"/>
      <c r="H68"/>
      <c r="I68"/>
      <c r="J68"/>
      <c r="K68"/>
      <c r="L68"/>
      <c r="M68"/>
      <c r="N68"/>
      <c r="O68"/>
      <c r="P68"/>
      <c r="Q68"/>
      <c r="R68"/>
      <c r="S68"/>
      <c r="T68"/>
    </row>
    <row r="69" spans="1:20" ht="15">
      <c r="A69" t="s">
        <v>1222</v>
      </c>
      <c r="B69">
        <v>80676</v>
      </c>
      <c r="C69">
        <v>109438</v>
      </c>
      <c r="D69">
        <v>89744</v>
      </c>
      <c r="E69">
        <v>0</v>
      </c>
      <c r="F69"/>
      <c r="G69"/>
      <c r="H69"/>
      <c r="I69"/>
      <c r="J69"/>
      <c r="K69"/>
      <c r="L69"/>
      <c r="M69"/>
      <c r="N69"/>
      <c r="O69"/>
      <c r="P69"/>
      <c r="Q69"/>
      <c r="R69"/>
      <c r="S69"/>
      <c r="T69"/>
    </row>
    <row r="70" spans="1:20" ht="15">
      <c r="A70" t="s">
        <v>1223</v>
      </c>
      <c r="B70">
        <v>226178</v>
      </c>
      <c r="C70">
        <v>266010</v>
      </c>
      <c r="D70">
        <v>293055</v>
      </c>
      <c r="E70">
        <v>0</v>
      </c>
      <c r="F70"/>
      <c r="G70"/>
      <c r="H70"/>
      <c r="I70"/>
      <c r="J70"/>
      <c r="K70"/>
      <c r="L70"/>
      <c r="M70"/>
      <c r="N70"/>
      <c r="O70"/>
      <c r="P70"/>
      <c r="Q70"/>
      <c r="R70"/>
      <c r="S70"/>
      <c r="T70"/>
    </row>
    <row r="71" spans="1:20" ht="15">
      <c r="A71" t="s">
        <v>1224</v>
      </c>
      <c r="B71">
        <v>0</v>
      </c>
      <c r="C71">
        <v>0</v>
      </c>
      <c r="D71">
        <v>0</v>
      </c>
      <c r="E71">
        <v>0</v>
      </c>
      <c r="F71"/>
      <c r="G71"/>
      <c r="H71"/>
      <c r="I71"/>
      <c r="J71"/>
      <c r="K71"/>
      <c r="L71"/>
      <c r="M71"/>
      <c r="N71"/>
      <c r="O71"/>
      <c r="P71"/>
      <c r="Q71"/>
      <c r="R71"/>
      <c r="S71"/>
      <c r="T71"/>
    </row>
    <row r="72" spans="1:20" ht="15">
      <c r="A72" t="s">
        <v>1225</v>
      </c>
      <c r="B72">
        <v>0</v>
      </c>
      <c r="C72">
        <v>0</v>
      </c>
      <c r="D72">
        <v>0</v>
      </c>
      <c r="E72">
        <v>0</v>
      </c>
      <c r="F72"/>
      <c r="G72"/>
      <c r="H72"/>
      <c r="I72"/>
      <c r="J72"/>
      <c r="K72"/>
      <c r="L72"/>
      <c r="M72"/>
      <c r="N72"/>
      <c r="O72"/>
      <c r="P72"/>
      <c r="Q72"/>
      <c r="R72"/>
      <c r="S72"/>
      <c r="T72"/>
    </row>
    <row r="73" spans="1:20" ht="15">
      <c r="A73" t="s">
        <v>1226</v>
      </c>
      <c r="B73">
        <v>306616</v>
      </c>
      <c r="C73">
        <v>220626</v>
      </c>
      <c r="D73">
        <v>309325</v>
      </c>
      <c r="E73">
        <v>0</v>
      </c>
      <c r="F73"/>
      <c r="G73"/>
      <c r="H73"/>
      <c r="I73"/>
      <c r="J73"/>
      <c r="K73"/>
      <c r="L73"/>
      <c r="M73"/>
      <c r="N73"/>
      <c r="O73"/>
      <c r="P73"/>
      <c r="Q73"/>
      <c r="R73"/>
      <c r="S73"/>
      <c r="T73"/>
    </row>
    <row r="74" spans="1:20" ht="15">
      <c r="A74" t="s">
        <v>1227</v>
      </c>
      <c r="B74">
        <v>0</v>
      </c>
      <c r="C74">
        <v>0</v>
      </c>
      <c r="D74">
        <v>0</v>
      </c>
      <c r="E74">
        <v>0</v>
      </c>
      <c r="F74"/>
      <c r="G74"/>
      <c r="H74"/>
      <c r="I74"/>
      <c r="J74"/>
      <c r="K74"/>
      <c r="L74"/>
      <c r="M74"/>
      <c r="N74"/>
      <c r="O74"/>
      <c r="P74"/>
      <c r="Q74"/>
      <c r="R74"/>
      <c r="S74"/>
      <c r="T74"/>
    </row>
    <row r="75" spans="1:20" ht="15">
      <c r="A75" t="s">
        <v>1228</v>
      </c>
      <c r="B75">
        <v>629830</v>
      </c>
      <c r="C75">
        <v>670868</v>
      </c>
      <c r="D75">
        <v>676412</v>
      </c>
      <c r="E75">
        <v>0</v>
      </c>
      <c r="F75"/>
      <c r="G75"/>
      <c r="H75"/>
      <c r="I75"/>
      <c r="J75"/>
      <c r="K75"/>
      <c r="L75"/>
      <c r="M75"/>
      <c r="N75"/>
      <c r="O75"/>
      <c r="P75"/>
      <c r="Q75"/>
      <c r="R75"/>
      <c r="S75"/>
      <c r="T75"/>
    </row>
    <row r="76" spans="1:20" ht="15">
      <c r="A76" t="s">
        <v>1229</v>
      </c>
      <c r="B76">
        <v>426526</v>
      </c>
      <c r="C76">
        <v>384992</v>
      </c>
      <c r="D76">
        <v>425274</v>
      </c>
      <c r="E76">
        <v>0</v>
      </c>
      <c r="F76"/>
      <c r="G76"/>
      <c r="H76"/>
      <c r="I76"/>
      <c r="J76"/>
      <c r="K76"/>
      <c r="L76"/>
      <c r="M76"/>
      <c r="N76"/>
      <c r="O76"/>
      <c r="P76"/>
      <c r="Q76"/>
      <c r="R76"/>
      <c r="S76"/>
      <c r="T76"/>
    </row>
    <row r="77" spans="1:20" ht="15">
      <c r="A77" t="s">
        <v>1230</v>
      </c>
      <c r="B77">
        <v>0</v>
      </c>
      <c r="C77">
        <v>0</v>
      </c>
      <c r="D77">
        <v>0</v>
      </c>
      <c r="E77">
        <v>0</v>
      </c>
      <c r="F77"/>
      <c r="G77"/>
      <c r="H77"/>
      <c r="I77"/>
      <c r="J77"/>
      <c r="K77"/>
      <c r="L77"/>
      <c r="M77"/>
      <c r="N77"/>
      <c r="O77"/>
      <c r="P77"/>
      <c r="Q77"/>
      <c r="R77"/>
      <c r="S77"/>
      <c r="T77"/>
    </row>
    <row r="78" spans="1:20" ht="15">
      <c r="A78" t="s">
        <v>1231</v>
      </c>
      <c r="B78">
        <v>102429</v>
      </c>
      <c r="C78">
        <v>92788</v>
      </c>
      <c r="D78">
        <v>70257</v>
      </c>
      <c r="E78">
        <v>0</v>
      </c>
      <c r="F78"/>
      <c r="G78"/>
      <c r="H78"/>
      <c r="I78"/>
      <c r="J78"/>
      <c r="K78"/>
      <c r="L78"/>
      <c r="M78"/>
      <c r="N78"/>
      <c r="O78"/>
      <c r="P78"/>
      <c r="Q78"/>
      <c r="R78"/>
      <c r="S78"/>
      <c r="T78"/>
    </row>
    <row r="79" spans="1:20" ht="15">
      <c r="A79" t="s">
        <v>1232</v>
      </c>
      <c r="B79">
        <v>18525</v>
      </c>
      <c r="C79">
        <v>19660</v>
      </c>
      <c r="D79">
        <v>23898</v>
      </c>
      <c r="E79">
        <v>0</v>
      </c>
      <c r="F79"/>
      <c r="G79"/>
      <c r="H79"/>
      <c r="I79"/>
      <c r="J79"/>
      <c r="K79"/>
      <c r="L79"/>
      <c r="M79"/>
      <c r="N79"/>
      <c r="O79"/>
      <c r="P79"/>
      <c r="Q79"/>
      <c r="R79"/>
      <c r="S79"/>
      <c r="T79"/>
    </row>
    <row r="80" spans="1:20" ht="15">
      <c r="A80" t="s">
        <v>1233</v>
      </c>
      <c r="B80">
        <v>433398</v>
      </c>
      <c r="C80">
        <v>379439</v>
      </c>
      <c r="D80">
        <v>396443</v>
      </c>
      <c r="E80">
        <v>0</v>
      </c>
      <c r="F80"/>
      <c r="G80"/>
      <c r="H80"/>
      <c r="I80"/>
      <c r="J80"/>
      <c r="K80"/>
      <c r="L80"/>
      <c r="M80"/>
      <c r="N80"/>
      <c r="O80"/>
      <c r="P80"/>
      <c r="Q80"/>
      <c r="R80"/>
      <c r="S80"/>
      <c r="T80"/>
    </row>
    <row r="81" spans="1:20" ht="15">
      <c r="A81" t="s">
        <v>1234</v>
      </c>
      <c r="B81">
        <v>2043268</v>
      </c>
      <c r="C81">
        <v>1681205</v>
      </c>
      <c r="D81">
        <v>1727266</v>
      </c>
      <c r="E81">
        <v>0</v>
      </c>
      <c r="F81"/>
      <c r="G81"/>
      <c r="H81"/>
      <c r="I81"/>
      <c r="J81"/>
      <c r="K81"/>
      <c r="L81"/>
      <c r="M81"/>
      <c r="N81"/>
      <c r="O81"/>
      <c r="P81"/>
      <c r="Q81"/>
      <c r="R81"/>
      <c r="S81"/>
      <c r="T81"/>
    </row>
    <row r="82" spans="1:20" ht="15">
      <c r="A82" t="s">
        <v>1235</v>
      </c>
      <c r="B82">
        <v>10292</v>
      </c>
      <c r="C82">
        <v>5963</v>
      </c>
      <c r="D82">
        <v>0</v>
      </c>
      <c r="E82">
        <v>0</v>
      </c>
      <c r="F82"/>
      <c r="G82"/>
      <c r="H82"/>
      <c r="I82"/>
      <c r="J82"/>
      <c r="K82"/>
      <c r="L82"/>
      <c r="M82"/>
      <c r="N82"/>
      <c r="O82"/>
      <c r="P82"/>
      <c r="Q82"/>
      <c r="R82"/>
      <c r="S82"/>
      <c r="T82"/>
    </row>
    <row r="83" spans="1:20" ht="15">
      <c r="A83" t="s">
        <v>1236</v>
      </c>
      <c r="B83">
        <v>0</v>
      </c>
      <c r="C83">
        <v>0</v>
      </c>
      <c r="D83">
        <v>0</v>
      </c>
      <c r="E83">
        <v>0</v>
      </c>
      <c r="F83"/>
      <c r="G83"/>
      <c r="H83"/>
      <c r="I83"/>
      <c r="J83"/>
      <c r="K83"/>
      <c r="L83"/>
      <c r="M83"/>
      <c r="N83"/>
      <c r="O83"/>
      <c r="P83"/>
      <c r="Q83"/>
      <c r="R83"/>
      <c r="S83"/>
      <c r="T83"/>
    </row>
    <row r="84" spans="1:20" ht="15">
      <c r="A84" t="s">
        <v>1237</v>
      </c>
      <c r="B84">
        <v>183650</v>
      </c>
      <c r="C84">
        <v>114965</v>
      </c>
      <c r="D84">
        <v>144287</v>
      </c>
      <c r="E84">
        <v>0</v>
      </c>
      <c r="F84"/>
      <c r="G84"/>
      <c r="H84"/>
      <c r="I84"/>
      <c r="J84"/>
      <c r="K84"/>
      <c r="L84"/>
      <c r="M84"/>
      <c r="N84"/>
      <c r="O84"/>
      <c r="P84"/>
      <c r="Q84"/>
      <c r="R84"/>
      <c r="S84"/>
      <c r="T84"/>
    </row>
    <row r="85" spans="1:20" ht="15">
      <c r="A85" t="s">
        <v>1238</v>
      </c>
      <c r="B85">
        <v>0</v>
      </c>
      <c r="C85">
        <v>0</v>
      </c>
      <c r="D85">
        <v>0</v>
      </c>
      <c r="E85">
        <v>0</v>
      </c>
      <c r="F85"/>
      <c r="G85"/>
      <c r="H85"/>
      <c r="I85"/>
      <c r="J85"/>
      <c r="K85"/>
      <c r="L85"/>
      <c r="M85"/>
      <c r="N85"/>
      <c r="O85"/>
      <c r="P85"/>
      <c r="Q85"/>
      <c r="R85"/>
      <c r="S85"/>
      <c r="T85"/>
    </row>
    <row r="86" spans="1:20" ht="15">
      <c r="A86" t="s">
        <v>1239</v>
      </c>
      <c r="B86">
        <v>4893</v>
      </c>
      <c r="C86">
        <v>4787</v>
      </c>
      <c r="D86">
        <v>6119</v>
      </c>
      <c r="E86">
        <v>0</v>
      </c>
      <c r="F86"/>
      <c r="G86"/>
      <c r="H86"/>
      <c r="I86"/>
      <c r="J86"/>
      <c r="K86"/>
      <c r="L86"/>
      <c r="M86"/>
      <c r="N86"/>
      <c r="O86"/>
      <c r="P86"/>
      <c r="Q86"/>
      <c r="R86"/>
      <c r="S86"/>
      <c r="T86"/>
    </row>
    <row r="87" spans="1:20" ht="15">
      <c r="A87"/>
      <c r="B87"/>
      <c r="C87"/>
      <c r="D87"/>
      <c r="E87"/>
      <c r="F87"/>
      <c r="G87"/>
      <c r="H87"/>
      <c r="I87"/>
      <c r="J87"/>
      <c r="K87"/>
      <c r="L87"/>
      <c r="M87"/>
      <c r="N87"/>
      <c r="O87"/>
      <c r="P87"/>
      <c r="Q87"/>
      <c r="R87"/>
      <c r="S87"/>
      <c r="T87"/>
    </row>
    <row r="88" spans="1:20" ht="15">
      <c r="A88">
        <v>2014</v>
      </c>
      <c r="B88">
        <v>0</v>
      </c>
      <c r="C88" t="s">
        <v>1154</v>
      </c>
      <c r="D88"/>
      <c r="E88"/>
      <c r="F88"/>
      <c r="G88"/>
      <c r="H88"/>
      <c r="I88"/>
      <c r="J88"/>
      <c r="K88"/>
      <c r="L88"/>
      <c r="M88"/>
      <c r="N88"/>
      <c r="O88"/>
      <c r="P88"/>
      <c r="Q88"/>
      <c r="R88"/>
      <c r="S88"/>
      <c r="T88"/>
    </row>
    <row r="89" spans="1:20" ht="15">
      <c r="A89">
        <v>2014</v>
      </c>
      <c r="B89">
        <v>0</v>
      </c>
      <c r="C89" t="s">
        <v>1155</v>
      </c>
      <c r="D89"/>
      <c r="E89"/>
      <c r="F89"/>
      <c r="G89"/>
      <c r="H89"/>
      <c r="I89"/>
      <c r="J89"/>
      <c r="K89"/>
      <c r="L89"/>
      <c r="M89"/>
      <c r="N89"/>
      <c r="O89"/>
      <c r="P89"/>
      <c r="Q89"/>
      <c r="R89"/>
      <c r="S89"/>
      <c r="T89"/>
    </row>
    <row r="90" spans="1:20" ht="15">
      <c r="A90">
        <v>2014</v>
      </c>
      <c r="B90">
        <v>0</v>
      </c>
      <c r="C90" t="s">
        <v>1156</v>
      </c>
      <c r="D90"/>
      <c r="E90"/>
      <c r="F90"/>
      <c r="G90"/>
      <c r="H90"/>
      <c r="I90"/>
      <c r="J90"/>
      <c r="K90"/>
      <c r="L90"/>
      <c r="M90"/>
      <c r="N90"/>
      <c r="O90"/>
      <c r="P90"/>
      <c r="Q90"/>
      <c r="R90"/>
      <c r="S90"/>
      <c r="T90"/>
    </row>
    <row r="91" spans="1:20" ht="15">
      <c r="A91">
        <v>2013</v>
      </c>
      <c r="B91">
        <v>191388</v>
      </c>
      <c r="C91" t="s">
        <v>1154</v>
      </c>
      <c r="D91"/>
      <c r="E91"/>
      <c r="F91"/>
      <c r="G91"/>
      <c r="H91"/>
      <c r="I91"/>
      <c r="J91"/>
      <c r="K91"/>
      <c r="L91"/>
      <c r="M91"/>
      <c r="N91"/>
      <c r="O91"/>
      <c r="P91"/>
      <c r="Q91"/>
      <c r="R91"/>
      <c r="S91"/>
      <c r="T91"/>
    </row>
    <row r="92" spans="1:20" ht="15">
      <c r="A92">
        <v>2013</v>
      </c>
      <c r="B92">
        <v>28049</v>
      </c>
      <c r="C92" t="s">
        <v>1155</v>
      </c>
      <c r="D92"/>
      <c r="E92"/>
      <c r="F92"/>
      <c r="G92"/>
      <c r="H92"/>
      <c r="I92"/>
      <c r="J92"/>
      <c r="K92"/>
      <c r="L92"/>
      <c r="M92"/>
      <c r="N92"/>
      <c r="O92"/>
      <c r="P92"/>
      <c r="Q92"/>
      <c r="R92"/>
      <c r="S92"/>
      <c r="T92"/>
    </row>
    <row r="93" spans="1:20" ht="15">
      <c r="A93">
        <v>2013</v>
      </c>
      <c r="B93">
        <v>417082</v>
      </c>
      <c r="C93" t="s">
        <v>1156</v>
      </c>
      <c r="D93"/>
      <c r="E93"/>
      <c r="F93"/>
      <c r="G93"/>
      <c r="H93"/>
      <c r="I93"/>
      <c r="J93"/>
      <c r="K93"/>
      <c r="L93"/>
      <c r="M93"/>
      <c r="N93"/>
      <c r="O93"/>
      <c r="P93"/>
      <c r="Q93"/>
      <c r="R93"/>
      <c r="S93"/>
      <c r="T93"/>
    </row>
    <row r="94" spans="1:20" ht="15">
      <c r="A94">
        <v>2012</v>
      </c>
      <c r="B94">
        <v>86290</v>
      </c>
      <c r="C94" t="s">
        <v>1154</v>
      </c>
      <c r="D94"/>
      <c r="E94"/>
      <c r="F94"/>
      <c r="G94"/>
      <c r="H94"/>
      <c r="I94"/>
      <c r="J94"/>
      <c r="K94"/>
      <c r="L94"/>
      <c r="M94"/>
      <c r="N94"/>
      <c r="O94"/>
      <c r="P94"/>
      <c r="Q94"/>
      <c r="R94"/>
      <c r="S94"/>
      <c r="T94"/>
    </row>
    <row r="95" spans="1:20" ht="15">
      <c r="A95">
        <v>2012</v>
      </c>
      <c r="B95">
        <v>26456</v>
      </c>
      <c r="C95" t="s">
        <v>1155</v>
      </c>
      <c r="D95"/>
      <c r="E95"/>
      <c r="F95"/>
      <c r="G95"/>
      <c r="H95"/>
      <c r="I95"/>
      <c r="J95"/>
      <c r="K95"/>
      <c r="L95"/>
      <c r="M95"/>
      <c r="N95"/>
      <c r="O95"/>
      <c r="P95"/>
      <c r="Q95"/>
      <c r="R95"/>
      <c r="S95"/>
      <c r="T95"/>
    </row>
    <row r="96" spans="1:20" ht="15">
      <c r="A96">
        <v>2012</v>
      </c>
      <c r="B96">
        <v>416828</v>
      </c>
      <c r="C96" t="s">
        <v>1156</v>
      </c>
      <c r="D96"/>
      <c r="E96"/>
      <c r="F96"/>
      <c r="G96"/>
      <c r="H96"/>
      <c r="I96"/>
      <c r="J96"/>
      <c r="K96"/>
      <c r="L96"/>
      <c r="M96"/>
      <c r="N96"/>
      <c r="O96"/>
      <c r="P96"/>
      <c r="Q96"/>
      <c r="R96"/>
      <c r="S96"/>
      <c r="T96"/>
    </row>
    <row r="97" spans="1:20" ht="15">
      <c r="A97" t="s">
        <v>6</v>
      </c>
      <c r="B97" t="s">
        <v>1157</v>
      </c>
      <c r="C97" t="s">
        <v>1158</v>
      </c>
      <c r="D97" t="s">
        <v>1159</v>
      </c>
      <c r="E97" t="s">
        <v>1160</v>
      </c>
      <c r="F97" t="s">
        <v>1161</v>
      </c>
      <c r="G97" t="s">
        <v>1162</v>
      </c>
      <c r="H97" t="s">
        <v>1163</v>
      </c>
      <c r="I97" t="s">
        <v>1164</v>
      </c>
      <c r="J97" t="s">
        <v>1165</v>
      </c>
      <c r="K97" t="s">
        <v>1166</v>
      </c>
      <c r="L97" t="s">
        <v>1167</v>
      </c>
      <c r="M97" t="s">
        <v>1168</v>
      </c>
      <c r="N97"/>
      <c r="O97"/>
      <c r="P97"/>
      <c r="Q97"/>
      <c r="R97"/>
      <c r="S97"/>
      <c r="T97"/>
    </row>
    <row r="98" spans="1:20" ht="15">
      <c r="A98">
        <v>2014</v>
      </c>
      <c r="B98">
        <v>0</v>
      </c>
      <c r="C98">
        <v>0</v>
      </c>
      <c r="D98">
        <v>0</v>
      </c>
      <c r="E98">
        <v>0</v>
      </c>
      <c r="F98">
        <v>0</v>
      </c>
      <c r="G98">
        <v>0</v>
      </c>
      <c r="H98">
        <v>0</v>
      </c>
      <c r="I98">
        <v>0</v>
      </c>
      <c r="J98">
        <v>0</v>
      </c>
      <c r="K98">
        <v>0</v>
      </c>
      <c r="L98">
        <v>0</v>
      </c>
      <c r="M98">
        <v>0</v>
      </c>
      <c r="N98"/>
      <c r="O98"/>
      <c r="P98"/>
      <c r="Q98"/>
      <c r="R98"/>
      <c r="S98"/>
      <c r="T98"/>
    </row>
    <row r="99" spans="1:20" ht="15">
      <c r="A99">
        <v>2013</v>
      </c>
      <c r="B99">
        <v>0.17399999999999999</v>
      </c>
      <c r="C99">
        <v>2.9704999999999999</v>
      </c>
      <c r="D99">
        <v>9.5074000000000005</v>
      </c>
      <c r="E99">
        <v>12.1557</v>
      </c>
      <c r="F99">
        <v>1.8869</v>
      </c>
      <c r="G99">
        <v>0</v>
      </c>
      <c r="H99">
        <v>0</v>
      </c>
      <c r="I99">
        <v>1.8176000000000001</v>
      </c>
      <c r="J99">
        <v>4654890</v>
      </c>
      <c r="K99">
        <v>0.97704199999999997</v>
      </c>
      <c r="L99">
        <v>264283686</v>
      </c>
      <c r="M99">
        <v>667070</v>
      </c>
      <c r="N99"/>
      <c r="O99"/>
      <c r="P99"/>
      <c r="Q99"/>
      <c r="R99"/>
      <c r="S99"/>
      <c r="T99"/>
    </row>
    <row r="100" spans="1:20" ht="15">
      <c r="A100">
        <v>2012</v>
      </c>
      <c r="B100">
        <v>0.17399999999999999</v>
      </c>
      <c r="C100">
        <v>2.8690000000000002</v>
      </c>
      <c r="D100">
        <v>9.3080999999999996</v>
      </c>
      <c r="E100">
        <v>11.798</v>
      </c>
      <c r="F100">
        <v>1.861</v>
      </c>
      <c r="G100">
        <v>0</v>
      </c>
      <c r="H100">
        <v>0</v>
      </c>
      <c r="I100">
        <v>1.8095000000000001</v>
      </c>
      <c r="J100">
        <v>3790685</v>
      </c>
      <c r="K100">
        <v>0.97711499999999996</v>
      </c>
      <c r="L100">
        <v>243135677</v>
      </c>
      <c r="M100">
        <v>951616</v>
      </c>
      <c r="N100"/>
      <c r="O100"/>
      <c r="P100"/>
      <c r="Q100"/>
      <c r="R100"/>
      <c r="S100"/>
      <c r="T100"/>
    </row>
    <row r="101" spans="1:20" ht="15">
      <c r="A101">
        <v>2011</v>
      </c>
      <c r="B101">
        <v>0.17299999999999999</v>
      </c>
      <c r="C101">
        <v>2.7301000000000002</v>
      </c>
      <c r="D101">
        <v>8.8179999999999996</v>
      </c>
      <c r="E101">
        <v>11.349299999999999</v>
      </c>
      <c r="F101">
        <v>1.7422</v>
      </c>
      <c r="G101">
        <v>0</v>
      </c>
      <c r="H101">
        <v>0</v>
      </c>
      <c r="I101">
        <v>1.7775000000000001</v>
      </c>
      <c r="J101">
        <v>3656031</v>
      </c>
      <c r="K101">
        <v>0.98195699999999997</v>
      </c>
      <c r="L101">
        <v>229237894</v>
      </c>
      <c r="M101">
        <v>712307</v>
      </c>
      <c r="N101"/>
      <c r="O101"/>
      <c r="P101"/>
      <c r="Q101"/>
      <c r="R101"/>
      <c r="S101"/>
      <c r="T101"/>
    </row>
    <row r="102" spans="1:20" ht="15">
      <c r="A102" t="s">
        <v>6</v>
      </c>
      <c r="B102" t="s">
        <v>1169</v>
      </c>
      <c r="C102" t="s">
        <v>1170</v>
      </c>
      <c r="D102" t="s">
        <v>1171</v>
      </c>
      <c r="E102"/>
      <c r="F102" t="s">
        <v>1172</v>
      </c>
      <c r="G102"/>
      <c r="H102"/>
      <c r="I102"/>
      <c r="J102"/>
      <c r="K102"/>
      <c r="L102"/>
      <c r="M102"/>
      <c r="N102"/>
      <c r="O102"/>
      <c r="P102"/>
      <c r="Q102"/>
      <c r="R102"/>
      <c r="S102"/>
      <c r="T102"/>
    </row>
    <row r="103" spans="1:20" ht="15">
      <c r="A103">
        <v>2014</v>
      </c>
      <c r="B103">
        <v>0</v>
      </c>
      <c r="C103">
        <v>0</v>
      </c>
      <c r="D103">
        <v>0</v>
      </c>
      <c r="E103"/>
      <c r="F103"/>
      <c r="G103"/>
      <c r="H103"/>
      <c r="I103"/>
      <c r="J103"/>
      <c r="K103"/>
      <c r="L103"/>
      <c r="M103"/>
      <c r="N103"/>
      <c r="O103"/>
      <c r="P103"/>
      <c r="Q103"/>
      <c r="R103"/>
      <c r="S103"/>
      <c r="T103"/>
    </row>
    <row r="104" spans="1:20" ht="15">
      <c r="A104">
        <v>2013</v>
      </c>
      <c r="B104">
        <v>2077440</v>
      </c>
      <c r="C104">
        <v>0</v>
      </c>
      <c r="D104">
        <v>5581435</v>
      </c>
      <c r="E104"/>
      <c r="F104"/>
      <c r="G104"/>
      <c r="H104"/>
      <c r="I104"/>
      <c r="J104"/>
      <c r="K104"/>
      <c r="L104"/>
      <c r="M104"/>
      <c r="N104"/>
      <c r="O104"/>
      <c r="P104"/>
      <c r="Q104"/>
      <c r="R104"/>
      <c r="S104"/>
      <c r="T104"/>
    </row>
    <row r="105" spans="1:20" ht="15">
      <c r="A105">
        <v>2012</v>
      </c>
      <c r="B105">
        <v>2077440</v>
      </c>
      <c r="C105">
        <v>0</v>
      </c>
      <c r="D105">
        <v>5017456</v>
      </c>
      <c r="E105"/>
      <c r="F105"/>
      <c r="G105"/>
      <c r="H105"/>
      <c r="I105"/>
      <c r="J105"/>
      <c r="K105"/>
      <c r="L105"/>
      <c r="M105"/>
      <c r="N105"/>
      <c r="O105"/>
      <c r="P105"/>
      <c r="Q105"/>
      <c r="R105"/>
      <c r="S105"/>
      <c r="T105"/>
    </row>
    <row r="106" spans="1:20" ht="15">
      <c r="A106">
        <v>2011</v>
      </c>
      <c r="B106">
        <v>2077440</v>
      </c>
      <c r="C106">
        <v>0</v>
      </c>
      <c r="D106">
        <v>4519768</v>
      </c>
      <c r="E106"/>
      <c r="F106"/>
      <c r="G106"/>
      <c r="H106"/>
      <c r="I106"/>
      <c r="J106"/>
      <c r="K106"/>
      <c r="L106"/>
      <c r="M106"/>
      <c r="N106"/>
      <c r="O106"/>
      <c r="P106"/>
      <c r="Q106"/>
      <c r="R106"/>
      <c r="S106"/>
      <c r="T106"/>
    </row>
    <row r="107" spans="1:20" ht="15">
      <c r="A107"/>
      <c r="B107"/>
      <c r="C107"/>
      <c r="D107"/>
      <c r="E107"/>
      <c r="F107"/>
      <c r="G107"/>
      <c r="H107"/>
      <c r="I107"/>
      <c r="J107"/>
      <c r="K107"/>
      <c r="L107"/>
      <c r="M107"/>
      <c r="N107"/>
      <c r="O107"/>
      <c r="P107"/>
      <c r="Q107"/>
      <c r="R107"/>
      <c r="S107"/>
      <c r="T107"/>
    </row>
    <row r="108" spans="1:20" ht="15">
      <c r="A108"/>
      <c r="B108"/>
      <c r="C108"/>
      <c r="D108"/>
      <c r="E108"/>
      <c r="F108"/>
      <c r="G108"/>
      <c r="H108"/>
      <c r="I108"/>
      <c r="J108"/>
      <c r="K108"/>
      <c r="L108"/>
      <c r="M108"/>
      <c r="N108"/>
      <c r="O108"/>
      <c r="P108"/>
      <c r="Q108"/>
      <c r="R108"/>
      <c r="S108"/>
      <c r="T108"/>
    </row>
    <row r="109" spans="1:20" ht="15">
      <c r="A109"/>
      <c r="B109"/>
      <c r="C109"/>
      <c r="D109"/>
      <c r="E109"/>
      <c r="F109"/>
      <c r="G109"/>
      <c r="H109"/>
      <c r="I109"/>
      <c r="J109"/>
      <c r="K109"/>
      <c r="L109"/>
      <c r="M109"/>
      <c r="N109"/>
      <c r="O109"/>
      <c r="P109"/>
      <c r="Q109"/>
      <c r="R109"/>
      <c r="S109"/>
      <c r="T109"/>
    </row>
    <row r="110" spans="1:20" ht="15">
      <c r="A110"/>
      <c r="B110"/>
      <c r="C110"/>
      <c r="D110"/>
      <c r="E110"/>
      <c r="F110"/>
      <c r="G110"/>
      <c r="H110"/>
      <c r="I110"/>
      <c r="J110"/>
      <c r="K110"/>
      <c r="L110"/>
      <c r="M110"/>
      <c r="N110"/>
      <c r="O110"/>
      <c r="P110"/>
      <c r="Q110"/>
      <c r="R110"/>
      <c r="S110"/>
      <c r="T110"/>
    </row>
    <row r="111" spans="1:20" ht="15">
      <c r="A111"/>
      <c r="B111"/>
      <c r="C111"/>
      <c r="D111"/>
      <c r="E111"/>
      <c r="F111"/>
      <c r="G111"/>
      <c r="H111"/>
      <c r="I111"/>
      <c r="J111"/>
      <c r="K111"/>
      <c r="L111"/>
      <c r="M111"/>
      <c r="N111"/>
      <c r="O111"/>
      <c r="P111"/>
      <c r="Q111"/>
      <c r="R111"/>
      <c r="S111"/>
      <c r="T111"/>
    </row>
    <row r="112" spans="1:20" ht="15">
      <c r="A112"/>
      <c r="B112"/>
      <c r="C112"/>
      <c r="D112"/>
      <c r="E112"/>
      <c r="F112"/>
      <c r="G112"/>
      <c r="H112"/>
      <c r="I112"/>
      <c r="J112"/>
      <c r="K112"/>
      <c r="L112"/>
      <c r="M112"/>
      <c r="N112"/>
      <c r="O112"/>
      <c r="P112"/>
      <c r="Q112"/>
      <c r="R112"/>
      <c r="S112"/>
      <c r="T112"/>
    </row>
    <row r="113" spans="1:31" ht="15">
      <c r="A113"/>
      <c r="B113"/>
      <c r="C113"/>
      <c r="D113"/>
      <c r="E113"/>
      <c r="F113"/>
      <c r="G113"/>
      <c r="H113"/>
      <c r="I113"/>
      <c r="J113"/>
      <c r="K113"/>
      <c r="L113"/>
      <c r="M113"/>
      <c r="N113"/>
      <c r="O113"/>
      <c r="P113"/>
      <c r="Q113"/>
      <c r="R113"/>
      <c r="S113"/>
      <c r="T113"/>
    </row>
    <row r="114" spans="1:31" ht="15">
      <c r="A114" t="s">
        <v>1240</v>
      </c>
      <c r="B114">
        <v>2013</v>
      </c>
      <c r="C114">
        <v>2013</v>
      </c>
      <c r="D114">
        <v>2014</v>
      </c>
      <c r="E114">
        <v>2014</v>
      </c>
      <c r="F114"/>
      <c r="G114"/>
      <c r="H114"/>
      <c r="I114"/>
      <c r="J114"/>
      <c r="K114"/>
      <c r="L114"/>
      <c r="M114"/>
      <c r="N114"/>
      <c r="O114"/>
      <c r="P114"/>
      <c r="Q114"/>
      <c r="R114"/>
      <c r="S114"/>
      <c r="T114"/>
    </row>
    <row r="115" spans="1:31" ht="15">
      <c r="A115" t="s">
        <v>1241</v>
      </c>
      <c r="B115">
        <v>0</v>
      </c>
      <c r="C115">
        <v>0</v>
      </c>
      <c r="D115">
        <v>0</v>
      </c>
      <c r="E115">
        <v>0</v>
      </c>
      <c r="F115"/>
      <c r="G115"/>
      <c r="H115"/>
      <c r="I115"/>
      <c r="J115"/>
      <c r="K115"/>
      <c r="L115"/>
      <c r="M115"/>
      <c r="N115"/>
      <c r="O115"/>
      <c r="P115"/>
      <c r="Q115"/>
      <c r="R115"/>
      <c r="S115"/>
      <c r="T115"/>
    </row>
    <row r="116" spans="1:31" ht="15">
      <c r="A116" t="s">
        <v>1242</v>
      </c>
      <c r="B116">
        <v>0</v>
      </c>
      <c r="C116">
        <v>0</v>
      </c>
      <c r="D116">
        <v>0</v>
      </c>
      <c r="E116">
        <v>0</v>
      </c>
      <c r="F116"/>
      <c r="G116"/>
      <c r="H116"/>
      <c r="I116"/>
      <c r="J116"/>
      <c r="K116"/>
      <c r="L116"/>
      <c r="M116"/>
      <c r="N116"/>
      <c r="O116"/>
      <c r="P116"/>
      <c r="Q116"/>
      <c r="R116"/>
      <c r="S116"/>
      <c r="T116"/>
    </row>
    <row r="117" spans="1:31" ht="15">
      <c r="A117" t="s">
        <v>1243</v>
      </c>
      <c r="B117">
        <v>0</v>
      </c>
      <c r="C117">
        <v>0</v>
      </c>
      <c r="D117">
        <v>0</v>
      </c>
      <c r="E117">
        <v>0</v>
      </c>
      <c r="F117"/>
      <c r="G117"/>
      <c r="H117"/>
      <c r="I117"/>
      <c r="J117"/>
      <c r="K117"/>
      <c r="L117"/>
      <c r="M117"/>
      <c r="N117"/>
      <c r="O117"/>
      <c r="P117"/>
      <c r="Q117"/>
      <c r="R117"/>
      <c r="S117"/>
      <c r="T117"/>
    </row>
    <row r="118" spans="1:31" ht="15">
      <c r="A118" t="s">
        <v>1244</v>
      </c>
      <c r="B118">
        <v>678740</v>
      </c>
      <c r="C118">
        <v>0</v>
      </c>
      <c r="D118">
        <v>0</v>
      </c>
      <c r="E118">
        <v>0</v>
      </c>
      <c r="F118"/>
      <c r="G118"/>
      <c r="H118"/>
      <c r="I118"/>
      <c r="J118"/>
      <c r="K118"/>
      <c r="L118"/>
      <c r="M118"/>
      <c r="N118"/>
      <c r="O118"/>
      <c r="P118"/>
      <c r="Q118"/>
      <c r="R118"/>
      <c r="S118"/>
      <c r="T118"/>
    </row>
    <row r="119" spans="1:31" ht="15">
      <c r="A119" t="s">
        <v>1245</v>
      </c>
      <c r="B119">
        <v>0</v>
      </c>
      <c r="C119">
        <v>0</v>
      </c>
      <c r="D119">
        <v>0</v>
      </c>
      <c r="E119">
        <v>0</v>
      </c>
      <c r="F119"/>
      <c r="G119"/>
      <c r="H119"/>
      <c r="I119"/>
      <c r="J119"/>
      <c r="K119"/>
      <c r="L119"/>
      <c r="M119"/>
      <c r="N119"/>
      <c r="O119"/>
      <c r="P119"/>
      <c r="Q119"/>
      <c r="R119"/>
      <c r="S119"/>
      <c r="T119"/>
      <c r="U119" s="2"/>
      <c r="V119" s="2"/>
      <c r="W119" s="2"/>
    </row>
    <row r="120" spans="1:31" ht="15">
      <c r="A120" t="s">
        <v>1246</v>
      </c>
      <c r="B120">
        <v>5566870</v>
      </c>
      <c r="C120">
        <v>1.7000000000000001E-2</v>
      </c>
      <c r="D120">
        <v>0</v>
      </c>
      <c r="E120">
        <v>0</v>
      </c>
      <c r="F120"/>
      <c r="G120"/>
      <c r="H120"/>
      <c r="I120"/>
      <c r="J120"/>
      <c r="K120"/>
      <c r="L120"/>
      <c r="M120"/>
      <c r="N120"/>
      <c r="O120"/>
      <c r="P120"/>
      <c r="Q120"/>
      <c r="R120"/>
      <c r="S120"/>
      <c r="T120"/>
      <c r="U120" s="2"/>
      <c r="V120" s="2"/>
      <c r="W120" s="2"/>
      <c r="X120" s="2"/>
      <c r="Y120" s="2"/>
      <c r="Z120" s="2"/>
      <c r="AA120" s="2"/>
      <c r="AB120" s="2"/>
      <c r="AC120" s="2"/>
      <c r="AD120" s="2"/>
      <c r="AE120" s="2"/>
    </row>
    <row r="121" spans="1:31" ht="15">
      <c r="A121" t="s">
        <v>1247</v>
      </c>
      <c r="B121">
        <v>0</v>
      </c>
      <c r="C121">
        <v>0</v>
      </c>
      <c r="D121">
        <v>0</v>
      </c>
      <c r="E121">
        <v>0</v>
      </c>
      <c r="F121"/>
      <c r="G121"/>
      <c r="H121"/>
      <c r="I121"/>
      <c r="J121"/>
      <c r="K121"/>
      <c r="L121"/>
      <c r="M121"/>
      <c r="N121"/>
      <c r="O121"/>
      <c r="P121"/>
      <c r="Q121"/>
      <c r="R121"/>
      <c r="S121"/>
      <c r="T121"/>
      <c r="U121" s="2"/>
      <c r="V121" s="2"/>
      <c r="W121" s="2"/>
      <c r="X121" s="2"/>
      <c r="Y121" s="2"/>
      <c r="Z121" s="2"/>
      <c r="AA121" s="2"/>
      <c r="AB121" s="2"/>
      <c r="AC121" s="2"/>
      <c r="AD121" s="2"/>
      <c r="AE121" s="2"/>
    </row>
    <row r="122" spans="1:31" ht="15">
      <c r="A122" t="s">
        <v>1248</v>
      </c>
      <c r="B122">
        <v>4221415</v>
      </c>
      <c r="C122">
        <v>2.9000000000000001E-2</v>
      </c>
      <c r="D122">
        <v>0</v>
      </c>
      <c r="E122">
        <v>0</v>
      </c>
      <c r="F122"/>
      <c r="G122"/>
      <c r="H122"/>
      <c r="I122"/>
      <c r="J122"/>
      <c r="K122"/>
      <c r="L122"/>
      <c r="M122"/>
      <c r="N122"/>
      <c r="O122"/>
      <c r="P122"/>
      <c r="Q122"/>
      <c r="R122"/>
      <c r="S122"/>
      <c r="T122"/>
      <c r="U122" s="2"/>
      <c r="V122" s="2"/>
      <c r="W122" s="2"/>
      <c r="X122" s="2"/>
      <c r="Y122" s="2"/>
      <c r="Z122" s="2"/>
      <c r="AA122" s="2"/>
      <c r="AB122" s="2"/>
      <c r="AC122" s="2"/>
      <c r="AD122" s="2"/>
      <c r="AE122" s="2"/>
    </row>
    <row r="123" spans="1:31" ht="15">
      <c r="A123" t="s">
        <v>1249</v>
      </c>
      <c r="B123">
        <v>0</v>
      </c>
      <c r="C123">
        <v>0</v>
      </c>
      <c r="D123">
        <v>0</v>
      </c>
      <c r="E123">
        <v>0</v>
      </c>
      <c r="F123"/>
      <c r="G123"/>
      <c r="H123"/>
      <c r="I123"/>
      <c r="J123"/>
      <c r="K123"/>
      <c r="L123"/>
      <c r="M123"/>
      <c r="N123"/>
      <c r="O123"/>
      <c r="P123"/>
      <c r="Q123"/>
      <c r="R123"/>
      <c r="S123"/>
      <c r="T123"/>
      <c r="U123" s="2"/>
      <c r="V123" s="2"/>
      <c r="W123" s="2"/>
      <c r="X123" s="2"/>
      <c r="Y123" s="2"/>
      <c r="Z123" s="2"/>
      <c r="AA123" s="2"/>
      <c r="AB123" s="2"/>
      <c r="AC123" s="2"/>
      <c r="AD123" s="2"/>
      <c r="AE123" s="2"/>
    </row>
    <row r="124" spans="1:31" ht="15">
      <c r="A124" t="s">
        <v>1250</v>
      </c>
      <c r="B124">
        <v>157362</v>
      </c>
      <c r="C124">
        <v>4.4999999999999998E-2</v>
      </c>
      <c r="D124">
        <v>0</v>
      </c>
      <c r="E124">
        <v>0</v>
      </c>
      <c r="F124"/>
      <c r="G124"/>
      <c r="H124"/>
      <c r="I124"/>
      <c r="J124"/>
      <c r="K124"/>
      <c r="L124"/>
      <c r="M124"/>
      <c r="N124"/>
      <c r="O124"/>
      <c r="P124"/>
      <c r="Q124"/>
      <c r="R124"/>
      <c r="S124"/>
      <c r="T124"/>
      <c r="U124" s="2"/>
      <c r="V124" s="2"/>
      <c r="W124" s="2"/>
      <c r="X124" s="2"/>
      <c r="Y124" s="2"/>
      <c r="Z124" s="2"/>
      <c r="AA124" s="2"/>
      <c r="AB124" s="2"/>
      <c r="AC124" s="2"/>
      <c r="AD124" s="2"/>
      <c r="AE124" s="2"/>
    </row>
    <row r="125" spans="1:31" ht="15">
      <c r="A125" t="s">
        <v>1251</v>
      </c>
      <c r="B125">
        <v>444</v>
      </c>
      <c r="C125">
        <v>0</v>
      </c>
      <c r="D125">
        <v>0</v>
      </c>
      <c r="E125">
        <v>0</v>
      </c>
      <c r="F125"/>
      <c r="G125"/>
      <c r="H125"/>
      <c r="I125"/>
      <c r="J125"/>
      <c r="K125"/>
      <c r="L125"/>
      <c r="M125"/>
      <c r="N125"/>
      <c r="O125"/>
      <c r="P125"/>
      <c r="Q125"/>
      <c r="R125"/>
      <c r="S125"/>
      <c r="T125"/>
      <c r="U125" s="2"/>
      <c r="V125" s="2"/>
      <c r="W125" s="2"/>
      <c r="X125" s="2"/>
      <c r="Y125" s="2"/>
      <c r="Z125" s="2"/>
      <c r="AA125" s="2"/>
      <c r="AB125" s="2"/>
      <c r="AC125" s="2"/>
      <c r="AD125" s="2"/>
      <c r="AE125" s="2"/>
    </row>
    <row r="126" spans="1:31" ht="15">
      <c r="A126" t="s">
        <v>1252</v>
      </c>
      <c r="B126">
        <v>5446330</v>
      </c>
      <c r="C126">
        <v>3.2000000000000001E-2</v>
      </c>
      <c r="D126">
        <v>0</v>
      </c>
      <c r="E126">
        <v>0</v>
      </c>
      <c r="F126"/>
      <c r="G126"/>
      <c r="H126"/>
      <c r="I126"/>
      <c r="J126"/>
      <c r="K126"/>
      <c r="L126"/>
      <c r="M126"/>
      <c r="N126"/>
      <c r="O126"/>
      <c r="P126"/>
      <c r="Q126"/>
      <c r="R126"/>
      <c r="S126"/>
      <c r="T126"/>
    </row>
    <row r="127" spans="1:31" ht="15">
      <c r="A127" t="s">
        <v>1253</v>
      </c>
      <c r="B127">
        <v>46082</v>
      </c>
      <c r="C127">
        <v>4.3999999999999997E-2</v>
      </c>
      <c r="D127">
        <v>0</v>
      </c>
      <c r="E127">
        <v>0</v>
      </c>
      <c r="F127"/>
      <c r="G127"/>
      <c r="H127"/>
      <c r="I127"/>
      <c r="J127"/>
      <c r="K127"/>
      <c r="L127"/>
      <c r="M127"/>
      <c r="N127"/>
      <c r="O127"/>
      <c r="P127"/>
      <c r="Q127"/>
      <c r="R127"/>
      <c r="S127"/>
      <c r="T127"/>
    </row>
    <row r="128" spans="1:31" ht="15">
      <c r="A128" t="s">
        <v>1254</v>
      </c>
      <c r="B128">
        <v>5459168</v>
      </c>
      <c r="C128">
        <v>4.3999999999999997E-2</v>
      </c>
      <c r="D128">
        <v>0</v>
      </c>
      <c r="E128">
        <v>0</v>
      </c>
      <c r="F128"/>
      <c r="G128"/>
      <c r="H128"/>
      <c r="I128"/>
      <c r="J128"/>
      <c r="K128"/>
      <c r="L128"/>
      <c r="M128"/>
      <c r="N128"/>
      <c r="O128"/>
      <c r="P128"/>
      <c r="Q128"/>
      <c r="R128"/>
      <c r="S128"/>
      <c r="T128"/>
    </row>
    <row r="129" spans="1:20" ht="15">
      <c r="A129" t="s">
        <v>1255</v>
      </c>
      <c r="B129">
        <v>0</v>
      </c>
      <c r="C129">
        <v>0</v>
      </c>
      <c r="D129">
        <v>0</v>
      </c>
      <c r="E129">
        <v>0</v>
      </c>
      <c r="F129"/>
      <c r="G129"/>
      <c r="H129"/>
      <c r="I129"/>
      <c r="J129"/>
      <c r="K129"/>
      <c r="L129"/>
      <c r="M129"/>
      <c r="N129"/>
      <c r="O129"/>
      <c r="P129"/>
      <c r="Q129"/>
      <c r="R129"/>
      <c r="S129"/>
      <c r="T129"/>
    </row>
    <row r="130" spans="1:20" ht="15">
      <c r="A130" t="s">
        <v>1256</v>
      </c>
      <c r="B130">
        <v>15559</v>
      </c>
      <c r="C130">
        <v>4.3999999999999997E-2</v>
      </c>
      <c r="D130">
        <v>0</v>
      </c>
      <c r="E130">
        <v>0</v>
      </c>
      <c r="F130"/>
      <c r="G130"/>
      <c r="H130"/>
      <c r="I130"/>
      <c r="J130"/>
      <c r="K130"/>
      <c r="L130"/>
      <c r="M130"/>
      <c r="N130"/>
      <c r="O130"/>
      <c r="P130"/>
      <c r="Q130"/>
      <c r="R130"/>
      <c r="S130"/>
      <c r="T130"/>
    </row>
    <row r="131" spans="1:20" ht="15">
      <c r="A131" t="s">
        <v>1257</v>
      </c>
      <c r="B131">
        <v>0</v>
      </c>
      <c r="C131">
        <v>0</v>
      </c>
      <c r="D131">
        <v>0</v>
      </c>
      <c r="E131">
        <v>0</v>
      </c>
      <c r="F131"/>
      <c r="G131"/>
      <c r="H131"/>
      <c r="I131"/>
      <c r="J131"/>
      <c r="K131"/>
      <c r="L131"/>
      <c r="M131"/>
      <c r="N131"/>
      <c r="O131"/>
      <c r="P131"/>
      <c r="Q131"/>
      <c r="R131"/>
      <c r="S131"/>
      <c r="T131"/>
    </row>
    <row r="132" spans="1:20" ht="15">
      <c r="A132" t="s">
        <v>1258</v>
      </c>
      <c r="B132">
        <v>969631</v>
      </c>
      <c r="C132">
        <v>3.2000000000000001E-2</v>
      </c>
      <c r="D132">
        <v>0</v>
      </c>
      <c r="E132">
        <v>0</v>
      </c>
      <c r="F132"/>
      <c r="G132"/>
      <c r="H132"/>
      <c r="I132"/>
      <c r="J132"/>
      <c r="K132"/>
      <c r="L132"/>
      <c r="M132"/>
      <c r="N132"/>
      <c r="O132"/>
      <c r="P132"/>
      <c r="Q132"/>
      <c r="R132"/>
      <c r="S132"/>
      <c r="T132"/>
    </row>
    <row r="133" spans="1:20" ht="15">
      <c r="A133" t="s">
        <v>1259</v>
      </c>
      <c r="B133">
        <v>829215</v>
      </c>
      <c r="C133">
        <v>3.3000000000000002E-2</v>
      </c>
      <c r="D133">
        <v>0</v>
      </c>
      <c r="E133">
        <v>0</v>
      </c>
      <c r="F133"/>
      <c r="G133"/>
      <c r="H133"/>
      <c r="I133"/>
      <c r="J133"/>
      <c r="K133"/>
      <c r="L133"/>
      <c r="M133"/>
      <c r="N133"/>
      <c r="O133"/>
      <c r="P133"/>
      <c r="Q133"/>
      <c r="R133"/>
      <c r="S133"/>
      <c r="T133"/>
    </row>
    <row r="134" spans="1:20" ht="15">
      <c r="A134" t="s">
        <v>1260</v>
      </c>
      <c r="B134">
        <v>0</v>
      </c>
      <c r="C134">
        <v>0</v>
      </c>
      <c r="D134">
        <v>0</v>
      </c>
      <c r="E134">
        <v>0</v>
      </c>
      <c r="F134"/>
      <c r="G134"/>
      <c r="H134"/>
      <c r="I134"/>
      <c r="J134"/>
      <c r="K134"/>
      <c r="L134"/>
      <c r="M134"/>
      <c r="N134"/>
      <c r="O134"/>
      <c r="P134"/>
      <c r="Q134"/>
      <c r="R134"/>
      <c r="S134"/>
      <c r="T134"/>
    </row>
    <row r="135" spans="1:20" ht="15">
      <c r="A135" t="s">
        <v>1261</v>
      </c>
      <c r="B135">
        <v>481259</v>
      </c>
      <c r="C135">
        <v>0.06</v>
      </c>
      <c r="D135">
        <v>0</v>
      </c>
      <c r="E135">
        <v>0</v>
      </c>
      <c r="F135"/>
      <c r="G135"/>
      <c r="H135"/>
      <c r="I135"/>
      <c r="J135"/>
      <c r="K135"/>
      <c r="L135"/>
      <c r="M135"/>
      <c r="N135"/>
      <c r="O135"/>
      <c r="P135"/>
      <c r="Q135"/>
      <c r="R135"/>
      <c r="S135"/>
      <c r="T135"/>
    </row>
    <row r="136" spans="1:20" ht="15">
      <c r="A136" t="s">
        <v>1262</v>
      </c>
      <c r="B136">
        <v>563497</v>
      </c>
      <c r="C136">
        <v>0</v>
      </c>
      <c r="D136">
        <v>0</v>
      </c>
      <c r="E136">
        <v>0</v>
      </c>
      <c r="F136"/>
      <c r="G136"/>
      <c r="H136"/>
      <c r="I136"/>
      <c r="J136"/>
      <c r="K136"/>
      <c r="L136"/>
      <c r="M136"/>
      <c r="N136"/>
      <c r="O136"/>
      <c r="P136"/>
      <c r="Q136"/>
      <c r="R136"/>
      <c r="S136"/>
      <c r="T136"/>
    </row>
    <row r="137" spans="1:20" ht="15">
      <c r="A137" t="s">
        <v>1263</v>
      </c>
      <c r="B137">
        <v>684623</v>
      </c>
      <c r="C137">
        <v>3.2000000000000001E-2</v>
      </c>
      <c r="D137">
        <v>0</v>
      </c>
      <c r="E137">
        <v>0</v>
      </c>
      <c r="F137"/>
      <c r="G137"/>
      <c r="H137"/>
      <c r="I137"/>
      <c r="J137"/>
      <c r="K137"/>
      <c r="L137"/>
      <c r="M137"/>
      <c r="N137"/>
      <c r="O137"/>
      <c r="P137"/>
      <c r="Q137"/>
      <c r="R137"/>
      <c r="S137"/>
      <c r="T137"/>
    </row>
    <row r="138" spans="1:20" ht="15">
      <c r="A138" t="s">
        <v>1264</v>
      </c>
      <c r="B138">
        <v>6053505</v>
      </c>
      <c r="C138">
        <v>1.9E-2</v>
      </c>
      <c r="D138">
        <v>0</v>
      </c>
      <c r="E138">
        <v>0</v>
      </c>
      <c r="F138"/>
      <c r="G138"/>
      <c r="H138"/>
      <c r="I138"/>
      <c r="J138"/>
      <c r="K138"/>
      <c r="L138"/>
      <c r="M138"/>
      <c r="N138"/>
      <c r="O138"/>
      <c r="P138"/>
      <c r="Q138"/>
      <c r="R138"/>
      <c r="S138"/>
      <c r="T138"/>
    </row>
    <row r="139" spans="1:20" ht="15">
      <c r="A139" t="s">
        <v>1265</v>
      </c>
      <c r="B139">
        <v>68780112</v>
      </c>
      <c r="C139">
        <v>1.2999999999999999E-2</v>
      </c>
      <c r="D139">
        <v>0</v>
      </c>
      <c r="E139">
        <v>0</v>
      </c>
      <c r="F139"/>
      <c r="G139"/>
      <c r="H139"/>
      <c r="I139"/>
      <c r="J139"/>
      <c r="K139"/>
      <c r="L139"/>
      <c r="M139"/>
      <c r="N139"/>
      <c r="O139"/>
      <c r="P139"/>
      <c r="Q139"/>
      <c r="R139"/>
      <c r="S139"/>
      <c r="T139"/>
    </row>
    <row r="140" spans="1:20" ht="15">
      <c r="A140" t="s">
        <v>1266</v>
      </c>
      <c r="B140">
        <v>18062655</v>
      </c>
      <c r="C140">
        <v>2.9000000000000001E-2</v>
      </c>
      <c r="D140">
        <v>0</v>
      </c>
      <c r="E140">
        <v>0</v>
      </c>
      <c r="F140"/>
      <c r="G140"/>
      <c r="H140"/>
      <c r="I140"/>
      <c r="J140"/>
      <c r="K140"/>
      <c r="L140"/>
      <c r="M140"/>
      <c r="N140"/>
      <c r="O140"/>
      <c r="P140"/>
      <c r="Q140"/>
      <c r="R140"/>
      <c r="S140"/>
      <c r="T140"/>
    </row>
    <row r="141" spans="1:20" ht="15">
      <c r="A141" t="s">
        <v>1267</v>
      </c>
      <c r="B141">
        <v>16623802</v>
      </c>
      <c r="C141">
        <v>5.5E-2</v>
      </c>
      <c r="D141">
        <v>0</v>
      </c>
      <c r="E141">
        <v>0</v>
      </c>
      <c r="F141"/>
      <c r="G141"/>
      <c r="H141"/>
      <c r="I141"/>
      <c r="J141"/>
      <c r="K141"/>
      <c r="L141"/>
      <c r="M141"/>
      <c r="N141"/>
      <c r="O141"/>
      <c r="P141"/>
      <c r="Q141"/>
      <c r="R141"/>
      <c r="S141"/>
      <c r="T141"/>
    </row>
    <row r="142" spans="1:20" ht="15">
      <c r="A142" t="s">
        <v>1268</v>
      </c>
      <c r="B142">
        <v>8447249</v>
      </c>
      <c r="C142">
        <v>2.1999999999999999E-2</v>
      </c>
      <c r="D142">
        <v>0</v>
      </c>
      <c r="E142">
        <v>0</v>
      </c>
      <c r="F142"/>
      <c r="G142"/>
      <c r="H142"/>
      <c r="I142"/>
      <c r="J142"/>
      <c r="K142"/>
      <c r="L142"/>
      <c r="M142"/>
      <c r="N142"/>
      <c r="O142"/>
      <c r="P142"/>
      <c r="Q142"/>
      <c r="R142"/>
      <c r="S142"/>
      <c r="T142"/>
    </row>
    <row r="143" spans="1:20" ht="15">
      <c r="A143" t="s">
        <v>1269</v>
      </c>
      <c r="B143">
        <v>13666875</v>
      </c>
      <c r="C143">
        <v>1.55E-2</v>
      </c>
      <c r="D143">
        <v>0</v>
      </c>
      <c r="E143">
        <v>0</v>
      </c>
      <c r="F143"/>
      <c r="G143"/>
      <c r="H143"/>
      <c r="I143"/>
      <c r="J143"/>
      <c r="K143"/>
      <c r="L143"/>
      <c r="M143"/>
      <c r="N143"/>
      <c r="O143"/>
      <c r="P143"/>
      <c r="Q143"/>
      <c r="R143"/>
      <c r="S143"/>
      <c r="T143"/>
    </row>
    <row r="144" spans="1:20" ht="15">
      <c r="A144" t="s">
        <v>1270</v>
      </c>
      <c r="B144">
        <v>874901</v>
      </c>
      <c r="C144">
        <v>0</v>
      </c>
      <c r="D144">
        <v>0</v>
      </c>
      <c r="E144">
        <v>0</v>
      </c>
      <c r="F144"/>
      <c r="G144"/>
      <c r="H144"/>
      <c r="I144"/>
      <c r="J144"/>
      <c r="K144"/>
      <c r="L144"/>
      <c r="M144"/>
      <c r="N144"/>
      <c r="O144"/>
      <c r="P144"/>
      <c r="Q144"/>
      <c r="R144"/>
      <c r="S144"/>
      <c r="T144"/>
    </row>
    <row r="145" spans="1:20" ht="15">
      <c r="A145" t="s">
        <v>1271</v>
      </c>
      <c r="B145">
        <v>10384402</v>
      </c>
      <c r="C145">
        <v>2.9000000000000001E-2</v>
      </c>
      <c r="D145">
        <v>0</v>
      </c>
      <c r="E145">
        <v>0</v>
      </c>
      <c r="F145"/>
      <c r="G145"/>
      <c r="H145"/>
      <c r="I145"/>
      <c r="J145"/>
      <c r="K145"/>
      <c r="L145"/>
      <c r="M145"/>
      <c r="N145"/>
      <c r="O145"/>
      <c r="P145"/>
      <c r="Q145"/>
      <c r="R145"/>
      <c r="S145"/>
      <c r="T145"/>
    </row>
    <row r="146" spans="1:20" ht="15">
      <c r="A146" t="s">
        <v>1272</v>
      </c>
      <c r="B146">
        <v>409636</v>
      </c>
      <c r="C146">
        <v>5.8000000000000003E-2</v>
      </c>
      <c r="D146">
        <v>0</v>
      </c>
      <c r="E146">
        <v>0</v>
      </c>
      <c r="F146"/>
      <c r="G146"/>
      <c r="H146"/>
      <c r="I146"/>
      <c r="J146"/>
      <c r="K146"/>
      <c r="L146"/>
      <c r="M146"/>
      <c r="N146"/>
      <c r="O146"/>
      <c r="P146"/>
      <c r="Q146"/>
      <c r="R146"/>
      <c r="S146"/>
      <c r="T146"/>
    </row>
    <row r="147" spans="1:20" ht="15">
      <c r="A147" t="s">
        <v>1273</v>
      </c>
      <c r="B147">
        <v>1316789</v>
      </c>
      <c r="C147">
        <v>0.26700000000000002</v>
      </c>
      <c r="D147">
        <v>0</v>
      </c>
      <c r="E147">
        <v>0</v>
      </c>
      <c r="F147"/>
      <c r="G147"/>
      <c r="H147"/>
      <c r="I147"/>
      <c r="J147"/>
      <c r="K147"/>
      <c r="L147"/>
      <c r="M147"/>
      <c r="N147"/>
      <c r="O147"/>
      <c r="P147"/>
      <c r="Q147"/>
      <c r="R147"/>
      <c r="S147"/>
      <c r="T147"/>
    </row>
    <row r="148" spans="1:20" ht="15">
      <c r="A148" t="s">
        <v>1274</v>
      </c>
      <c r="B148">
        <v>3192288</v>
      </c>
      <c r="C148">
        <v>0.12</v>
      </c>
      <c r="D148">
        <v>0</v>
      </c>
      <c r="E148">
        <v>0</v>
      </c>
      <c r="F148"/>
      <c r="G148"/>
      <c r="H148"/>
      <c r="I148"/>
      <c r="J148"/>
      <c r="K148"/>
      <c r="L148"/>
      <c r="M148"/>
      <c r="N148"/>
      <c r="O148"/>
      <c r="P148"/>
      <c r="Q148"/>
      <c r="R148"/>
      <c r="S148"/>
      <c r="T148"/>
    </row>
    <row r="149" spans="1:20" ht="15">
      <c r="A149" t="s">
        <v>1275</v>
      </c>
      <c r="B149">
        <v>47255</v>
      </c>
      <c r="C149">
        <v>5.8000000000000003E-2</v>
      </c>
      <c r="D149">
        <v>0</v>
      </c>
      <c r="E149">
        <v>0</v>
      </c>
      <c r="F149"/>
      <c r="G149"/>
      <c r="H149"/>
      <c r="I149"/>
      <c r="J149"/>
      <c r="K149"/>
      <c r="L149"/>
      <c r="M149"/>
      <c r="N149"/>
      <c r="O149"/>
      <c r="P149"/>
      <c r="Q149"/>
      <c r="R149"/>
      <c r="S149"/>
      <c r="T149"/>
    </row>
    <row r="150" spans="1:20" ht="15">
      <c r="A150" t="s">
        <v>1276</v>
      </c>
      <c r="B150">
        <v>1075760</v>
      </c>
      <c r="C150">
        <v>5.8000000000000003E-2</v>
      </c>
      <c r="D150">
        <v>0</v>
      </c>
      <c r="E150">
        <v>0</v>
      </c>
      <c r="F150"/>
      <c r="G150"/>
      <c r="H150"/>
      <c r="I150"/>
      <c r="J150"/>
      <c r="K150"/>
      <c r="L150"/>
      <c r="M150"/>
      <c r="N150"/>
      <c r="O150"/>
      <c r="P150"/>
      <c r="Q150"/>
      <c r="R150"/>
      <c r="S150"/>
      <c r="T150"/>
    </row>
    <row r="151" spans="1:20" ht="15">
      <c r="A151" t="s">
        <v>1277</v>
      </c>
      <c r="B151">
        <v>9200</v>
      </c>
      <c r="C151">
        <v>5.8000000000000003E-2</v>
      </c>
      <c r="D151">
        <v>0</v>
      </c>
      <c r="E151">
        <v>0</v>
      </c>
      <c r="F151"/>
      <c r="G151"/>
      <c r="H151"/>
      <c r="I151"/>
      <c r="J151"/>
      <c r="K151"/>
      <c r="L151"/>
      <c r="M151"/>
      <c r="N151"/>
      <c r="O151"/>
      <c r="P151"/>
      <c r="Q151"/>
      <c r="R151"/>
      <c r="S151"/>
      <c r="T151"/>
    </row>
    <row r="152" spans="1:20" ht="15">
      <c r="A152" t="s">
        <v>1278</v>
      </c>
      <c r="B152">
        <v>1357708</v>
      </c>
      <c r="C152">
        <v>5.8000000000000003E-2</v>
      </c>
      <c r="D152">
        <v>0</v>
      </c>
      <c r="E152">
        <v>0</v>
      </c>
      <c r="F152"/>
      <c r="G152"/>
      <c r="H152"/>
      <c r="I152"/>
      <c r="J152"/>
      <c r="K152"/>
      <c r="L152"/>
      <c r="M152"/>
      <c r="N152"/>
      <c r="O152"/>
      <c r="P152"/>
      <c r="Q152"/>
      <c r="R152"/>
      <c r="S152"/>
      <c r="T152"/>
    </row>
    <row r="153" spans="1:20" ht="15">
      <c r="A153" t="s">
        <v>1279</v>
      </c>
      <c r="B153">
        <v>180404</v>
      </c>
      <c r="C153">
        <v>9.1999999999999998E-2</v>
      </c>
      <c r="D153">
        <v>0</v>
      </c>
      <c r="E153">
        <v>0</v>
      </c>
      <c r="F153"/>
      <c r="G153"/>
      <c r="H153"/>
      <c r="I153"/>
      <c r="J153"/>
      <c r="K153"/>
      <c r="L153"/>
      <c r="M153"/>
      <c r="N153"/>
      <c r="O153"/>
      <c r="P153"/>
      <c r="Q153"/>
      <c r="R153"/>
      <c r="S153"/>
      <c r="T153"/>
    </row>
    <row r="154" spans="1:20" ht="15">
      <c r="A154" t="s">
        <v>1280</v>
      </c>
      <c r="B154">
        <v>1459405</v>
      </c>
      <c r="C154">
        <v>9.1999999999999998E-2</v>
      </c>
      <c r="D154">
        <v>0</v>
      </c>
      <c r="E154">
        <v>0</v>
      </c>
      <c r="F154"/>
      <c r="G154"/>
      <c r="H154"/>
      <c r="I154"/>
      <c r="J154"/>
      <c r="K154"/>
      <c r="L154"/>
      <c r="M154"/>
      <c r="N154"/>
      <c r="O154"/>
      <c r="P154"/>
      <c r="Q154"/>
      <c r="R154"/>
      <c r="S154"/>
      <c r="T154"/>
    </row>
    <row r="155" spans="1:20" ht="15">
      <c r="A155" t="s">
        <v>1281</v>
      </c>
      <c r="B155">
        <v>0</v>
      </c>
      <c r="C155">
        <v>0</v>
      </c>
      <c r="D155">
        <v>0</v>
      </c>
      <c r="E155">
        <v>0</v>
      </c>
      <c r="F155"/>
      <c r="G155"/>
      <c r="H155"/>
      <c r="I155"/>
      <c r="J155"/>
      <c r="K155"/>
      <c r="L155"/>
      <c r="M155"/>
      <c r="N155"/>
      <c r="O155"/>
      <c r="P155"/>
      <c r="Q155"/>
      <c r="R155"/>
      <c r="S155"/>
      <c r="T155"/>
    </row>
    <row r="156" spans="1:20" ht="15">
      <c r="A156"/>
      <c r="B156"/>
      <c r="C156"/>
      <c r="D156"/>
      <c r="E156"/>
      <c r="F156"/>
      <c r="G156"/>
      <c r="H156"/>
      <c r="I156"/>
      <c r="J156"/>
      <c r="K156"/>
      <c r="L156"/>
      <c r="M156"/>
      <c r="N156"/>
      <c r="O156"/>
      <c r="P156"/>
      <c r="Q156"/>
      <c r="R156"/>
      <c r="S156"/>
      <c r="T156"/>
    </row>
    <row r="157" spans="1:20" ht="15">
      <c r="A157"/>
      <c r="B157"/>
      <c r="C157"/>
      <c r="D157"/>
      <c r="E157"/>
      <c r="F157"/>
      <c r="G157"/>
      <c r="H157"/>
      <c r="I157"/>
      <c r="J157"/>
      <c r="K157"/>
      <c r="L157"/>
      <c r="M157"/>
      <c r="N157"/>
      <c r="O157"/>
      <c r="P157"/>
      <c r="Q157"/>
      <c r="R157"/>
      <c r="S157"/>
      <c r="T157"/>
    </row>
    <row r="158" spans="1:20" ht="15">
      <c r="A158"/>
      <c r="B158"/>
      <c r="C158"/>
      <c r="D158"/>
      <c r="E158"/>
      <c r="F158"/>
      <c r="G158"/>
      <c r="H158"/>
      <c r="I158"/>
      <c r="J158"/>
      <c r="K158"/>
      <c r="L158"/>
      <c r="M158"/>
      <c r="N158"/>
      <c r="O158"/>
      <c r="P158"/>
      <c r="Q158"/>
      <c r="R158"/>
      <c r="S158"/>
      <c r="T158"/>
    </row>
    <row r="159" spans="1:20" ht="15">
      <c r="A159"/>
      <c r="B159"/>
      <c r="C159"/>
      <c r="D159"/>
      <c r="E159"/>
      <c r="F159"/>
      <c r="G159"/>
      <c r="H159"/>
      <c r="I159"/>
      <c r="J159"/>
      <c r="K159"/>
      <c r="L159"/>
      <c r="M159"/>
      <c r="N159"/>
      <c r="O159"/>
      <c r="P159"/>
      <c r="Q159"/>
      <c r="R159"/>
      <c r="S159"/>
      <c r="T159"/>
    </row>
    <row r="160" spans="1:20" ht="15">
      <c r="A160"/>
      <c r="B160"/>
      <c r="C160"/>
      <c r="D160"/>
      <c r="E160"/>
      <c r="F160"/>
      <c r="G160"/>
      <c r="H160"/>
      <c r="I160"/>
      <c r="J160"/>
      <c r="K160"/>
      <c r="L160"/>
      <c r="M160"/>
      <c r="N160"/>
      <c r="O160"/>
      <c r="P160"/>
      <c r="Q160"/>
      <c r="R160"/>
      <c r="S160"/>
      <c r="T160"/>
    </row>
    <row r="161" spans="1:20" ht="15">
      <c r="A161"/>
      <c r="B161"/>
      <c r="C161"/>
      <c r="D161"/>
      <c r="E161"/>
      <c r="F161"/>
      <c r="G161"/>
      <c r="H161"/>
      <c r="I161"/>
      <c r="J161"/>
      <c r="K161"/>
      <c r="L161"/>
      <c r="M161"/>
      <c r="N161"/>
      <c r="O161"/>
      <c r="P161"/>
      <c r="Q161"/>
      <c r="R161"/>
      <c r="S161"/>
      <c r="T161"/>
    </row>
    <row r="162" spans="1:20" ht="15">
      <c r="A162"/>
      <c r="B162"/>
      <c r="C162"/>
      <c r="D162"/>
      <c r="E162"/>
      <c r="F162"/>
      <c r="G162"/>
      <c r="H162"/>
      <c r="I162"/>
      <c r="J162"/>
      <c r="K162"/>
      <c r="L162"/>
      <c r="M162"/>
      <c r="N162"/>
      <c r="O162"/>
      <c r="P162"/>
      <c r="Q162"/>
      <c r="R162"/>
      <c r="S162"/>
      <c r="T162"/>
    </row>
    <row r="163" spans="1:20" ht="15">
      <c r="A163"/>
      <c r="B163"/>
      <c r="C163"/>
      <c r="D163"/>
      <c r="E163"/>
      <c r="F163"/>
      <c r="G163"/>
      <c r="H163"/>
      <c r="I163"/>
      <c r="J163"/>
      <c r="K163"/>
      <c r="L163"/>
      <c r="M163"/>
      <c r="N163"/>
      <c r="O163"/>
      <c r="P163"/>
      <c r="Q163"/>
      <c r="R163"/>
      <c r="S163"/>
      <c r="T163"/>
    </row>
    <row r="164" spans="1:20" ht="15">
      <c r="A164" t="s">
        <v>1283</v>
      </c>
      <c r="B164"/>
      <c r="C164"/>
      <c r="D164"/>
      <c r="E164"/>
      <c r="F164"/>
      <c r="G164"/>
      <c r="H164"/>
      <c r="I164"/>
      <c r="J164"/>
      <c r="K164"/>
      <c r="L164"/>
      <c r="M164"/>
      <c r="N164"/>
      <c r="O164"/>
      <c r="P164"/>
      <c r="Q164"/>
      <c r="R164"/>
      <c r="S164"/>
      <c r="T164"/>
    </row>
    <row r="165" spans="1:20" ht="15">
      <c r="A165">
        <v>2013</v>
      </c>
      <c r="B165">
        <v>41038994</v>
      </c>
      <c r="C165"/>
      <c r="D165"/>
      <c r="E165"/>
      <c r="F165"/>
      <c r="G165"/>
      <c r="H165"/>
      <c r="I165"/>
      <c r="J165"/>
      <c r="K165"/>
      <c r="L165"/>
      <c r="M165"/>
      <c r="N165"/>
      <c r="O165"/>
      <c r="P165"/>
      <c r="Q165"/>
      <c r="R165"/>
      <c r="S165"/>
      <c r="T165"/>
    </row>
    <row r="166" spans="1:20" ht="15">
      <c r="A166">
        <v>2012</v>
      </c>
      <c r="B166">
        <v>39357205</v>
      </c>
      <c r="C166"/>
      <c r="D166"/>
      <c r="E166"/>
      <c r="F166"/>
      <c r="G166"/>
      <c r="H166"/>
      <c r="I166"/>
      <c r="J166"/>
      <c r="K166"/>
      <c r="L166"/>
      <c r="M166"/>
      <c r="N166"/>
      <c r="O166"/>
      <c r="P166"/>
      <c r="Q166"/>
      <c r="R166"/>
      <c r="S166"/>
      <c r="T166"/>
    </row>
    <row r="167" spans="1:20" ht="15">
      <c r="A167">
        <v>2011</v>
      </c>
      <c r="B167">
        <v>36171488</v>
      </c>
      <c r="C167"/>
      <c r="D167"/>
      <c r="E167"/>
      <c r="F167"/>
      <c r="G167"/>
      <c r="H167"/>
      <c r="I167"/>
      <c r="J167"/>
      <c r="K167"/>
      <c r="L167"/>
      <c r="M167"/>
      <c r="N167"/>
      <c r="O167"/>
      <c r="P167"/>
      <c r="Q167"/>
      <c r="R167"/>
      <c r="S167"/>
      <c r="T167"/>
    </row>
    <row r="168" spans="1:20" ht="15">
      <c r="A168">
        <v>2014</v>
      </c>
      <c r="B168">
        <v>0</v>
      </c>
      <c r="C168"/>
      <c r="D168"/>
      <c r="E168"/>
      <c r="F168"/>
      <c r="G168"/>
      <c r="H168"/>
      <c r="I168"/>
      <c r="J168"/>
      <c r="K168"/>
      <c r="L168"/>
      <c r="M168"/>
      <c r="N168"/>
      <c r="O168"/>
      <c r="P168"/>
      <c r="Q168"/>
      <c r="R168"/>
      <c r="S168"/>
      <c r="T168"/>
    </row>
    <row r="169" spans="1:20" ht="15">
      <c r="A169">
        <v>2013</v>
      </c>
      <c r="B169">
        <v>713450</v>
      </c>
      <c r="C169"/>
      <c r="D169"/>
      <c r="E169"/>
      <c r="F169"/>
      <c r="G169"/>
      <c r="H169"/>
      <c r="I169"/>
      <c r="J169"/>
      <c r="K169"/>
      <c r="L169"/>
      <c r="M169"/>
      <c r="N169"/>
      <c r="O169"/>
      <c r="P169"/>
      <c r="Q169"/>
      <c r="R169"/>
      <c r="S169"/>
      <c r="T169"/>
    </row>
    <row r="170" spans="1:20" ht="15">
      <c r="A170">
        <v>2012</v>
      </c>
      <c r="B170">
        <v>667070</v>
      </c>
      <c r="C170"/>
      <c r="D170"/>
      <c r="E170"/>
      <c r="F170"/>
      <c r="G170"/>
      <c r="H170"/>
      <c r="I170"/>
      <c r="J170"/>
      <c r="K170"/>
      <c r="L170"/>
      <c r="M170"/>
      <c r="N170"/>
      <c r="O170"/>
      <c r="P170"/>
      <c r="Q170"/>
      <c r="R170"/>
      <c r="S170"/>
      <c r="T170"/>
    </row>
    <row r="171" spans="1:20" ht="15">
      <c r="A171">
        <v>2011</v>
      </c>
      <c r="B171">
        <v>951616</v>
      </c>
      <c r="C171"/>
      <c r="D171"/>
      <c r="E171"/>
      <c r="F171"/>
      <c r="G171"/>
      <c r="H171"/>
      <c r="I171"/>
      <c r="J171"/>
      <c r="K171"/>
      <c r="L171"/>
      <c r="M171"/>
      <c r="N171"/>
      <c r="O171"/>
      <c r="P171"/>
      <c r="Q171"/>
      <c r="R171"/>
      <c r="S171"/>
      <c r="T171"/>
    </row>
    <row r="172" spans="1:20" ht="15">
      <c r="A172">
        <v>2014</v>
      </c>
      <c r="B172">
        <v>0</v>
      </c>
      <c r="C172"/>
      <c r="D172"/>
      <c r="E172"/>
      <c r="F172"/>
      <c r="G172"/>
      <c r="H172"/>
      <c r="I172"/>
      <c r="J172"/>
      <c r="K172"/>
      <c r="L172"/>
      <c r="M172"/>
      <c r="N172"/>
      <c r="O172"/>
      <c r="P172"/>
      <c r="Q172"/>
      <c r="R172"/>
      <c r="S172"/>
      <c r="T172"/>
    </row>
    <row r="173" spans="1:20" ht="15">
      <c r="A173">
        <v>2013</v>
      </c>
      <c r="B173">
        <v>4596346</v>
      </c>
      <c r="C173"/>
      <c r="D173"/>
      <c r="E173"/>
      <c r="F173"/>
      <c r="G173"/>
      <c r="H173"/>
      <c r="I173"/>
      <c r="J173"/>
      <c r="K173"/>
      <c r="L173"/>
      <c r="M173"/>
      <c r="N173"/>
      <c r="O173"/>
      <c r="P173"/>
      <c r="Q173"/>
      <c r="R173"/>
      <c r="S173"/>
      <c r="T173"/>
    </row>
    <row r="174" spans="1:20" ht="15">
      <c r="A174">
        <v>2012</v>
      </c>
      <c r="B174">
        <v>5055979</v>
      </c>
      <c r="C174"/>
      <c r="D174"/>
      <c r="E174"/>
      <c r="F174"/>
      <c r="G174"/>
      <c r="H174"/>
      <c r="I174"/>
      <c r="J174"/>
      <c r="K174"/>
      <c r="L174"/>
      <c r="M174"/>
      <c r="N174"/>
      <c r="O174"/>
      <c r="P174"/>
      <c r="Q174"/>
      <c r="R174"/>
      <c r="S174"/>
      <c r="T174"/>
    </row>
    <row r="175" spans="1:20" ht="15">
      <c r="A175">
        <v>2011</v>
      </c>
      <c r="B175">
        <v>5515612</v>
      </c>
      <c r="C175"/>
      <c r="D175"/>
      <c r="E175"/>
      <c r="F175"/>
      <c r="G175"/>
      <c r="H175"/>
      <c r="I175"/>
      <c r="J175"/>
      <c r="K175"/>
      <c r="L175"/>
      <c r="M175"/>
      <c r="N175"/>
      <c r="O175"/>
      <c r="P175"/>
      <c r="Q175"/>
      <c r="R175"/>
      <c r="S175"/>
      <c r="T175"/>
    </row>
    <row r="176" spans="1:20" ht="15">
      <c r="A176"/>
      <c r="B176"/>
      <c r="C176"/>
      <c r="D176"/>
      <c r="E176"/>
      <c r="F176"/>
      <c r="G176"/>
      <c r="H176"/>
      <c r="I176"/>
      <c r="J176"/>
      <c r="K176"/>
      <c r="L176"/>
      <c r="M176"/>
      <c r="N176"/>
      <c r="O176"/>
      <c r="P176"/>
      <c r="Q176"/>
      <c r="R176"/>
      <c r="S176"/>
      <c r="T176"/>
    </row>
    <row r="177" spans="1:20" ht="15">
      <c r="A177" t="s">
        <v>1282</v>
      </c>
      <c r="B177">
        <v>2013</v>
      </c>
      <c r="C177">
        <v>2014</v>
      </c>
      <c r="D177">
        <v>2014</v>
      </c>
      <c r="E177"/>
      <c r="F177"/>
      <c r="G177"/>
      <c r="H177"/>
      <c r="I177"/>
      <c r="J177"/>
      <c r="K177"/>
      <c r="L177"/>
      <c r="M177"/>
      <c r="N177"/>
      <c r="O177"/>
      <c r="P177"/>
      <c r="Q177"/>
      <c r="R177"/>
      <c r="S177"/>
      <c r="T177"/>
    </row>
    <row r="178" spans="1:20" ht="15">
      <c r="A178" t="s">
        <v>1241</v>
      </c>
      <c r="B178">
        <v>0</v>
      </c>
      <c r="C178">
        <v>0</v>
      </c>
      <c r="D178">
        <v>0</v>
      </c>
      <c r="E178"/>
      <c r="F178"/>
      <c r="G178"/>
      <c r="H178"/>
      <c r="I178"/>
      <c r="J178"/>
      <c r="K178"/>
      <c r="L178"/>
      <c r="M178"/>
      <c r="N178"/>
      <c r="O178"/>
      <c r="P178"/>
      <c r="Q178"/>
      <c r="R178"/>
      <c r="S178"/>
      <c r="T178"/>
    </row>
    <row r="179" spans="1:20" ht="15">
      <c r="A179" t="s">
        <v>1242</v>
      </c>
      <c r="B179">
        <v>0</v>
      </c>
      <c r="C179">
        <v>0</v>
      </c>
      <c r="D179">
        <v>0</v>
      </c>
      <c r="E179"/>
      <c r="F179"/>
      <c r="G179"/>
      <c r="H179"/>
      <c r="I179"/>
      <c r="J179"/>
      <c r="K179"/>
      <c r="L179"/>
      <c r="M179"/>
      <c r="N179"/>
      <c r="O179"/>
      <c r="P179"/>
      <c r="Q179"/>
      <c r="R179"/>
      <c r="S179"/>
      <c r="T179"/>
    </row>
    <row r="180" spans="1:20" ht="15">
      <c r="A180" t="s">
        <v>1243</v>
      </c>
      <c r="B180">
        <v>0</v>
      </c>
      <c r="C180">
        <v>0</v>
      </c>
      <c r="D180">
        <v>0</v>
      </c>
      <c r="E180"/>
      <c r="F180"/>
      <c r="G180"/>
      <c r="H180"/>
      <c r="I180"/>
      <c r="J180"/>
      <c r="K180"/>
      <c r="L180"/>
      <c r="M180"/>
      <c r="N180"/>
      <c r="O180"/>
      <c r="P180"/>
      <c r="Q180"/>
      <c r="R180"/>
      <c r="S180"/>
      <c r="T180"/>
    </row>
    <row r="181" spans="1:20" ht="15">
      <c r="A181" t="s">
        <v>1244</v>
      </c>
      <c r="B181">
        <v>0</v>
      </c>
      <c r="C181">
        <v>0</v>
      </c>
      <c r="D181">
        <v>0</v>
      </c>
      <c r="E181"/>
      <c r="F181"/>
      <c r="G181"/>
      <c r="H181"/>
      <c r="I181"/>
      <c r="J181"/>
      <c r="K181"/>
      <c r="L181"/>
      <c r="M181"/>
      <c r="N181"/>
      <c r="O181"/>
      <c r="P181"/>
      <c r="Q181"/>
      <c r="R181"/>
      <c r="S181"/>
      <c r="T181"/>
    </row>
    <row r="182" spans="1:20" ht="15">
      <c r="A182" t="s">
        <v>1245</v>
      </c>
      <c r="B182">
        <v>0</v>
      </c>
      <c r="C182">
        <v>0</v>
      </c>
      <c r="D182">
        <v>0</v>
      </c>
      <c r="E182"/>
      <c r="F182"/>
      <c r="G182"/>
      <c r="H182"/>
      <c r="I182"/>
      <c r="J182"/>
      <c r="K182"/>
      <c r="L182"/>
      <c r="M182"/>
      <c r="N182"/>
      <c r="O182"/>
      <c r="P182"/>
      <c r="Q182"/>
      <c r="R182"/>
      <c r="S182"/>
      <c r="T182"/>
    </row>
    <row r="183" spans="1:20" ht="15">
      <c r="A183" t="s">
        <v>1246</v>
      </c>
      <c r="B183">
        <v>0</v>
      </c>
      <c r="C183">
        <v>0</v>
      </c>
      <c r="D183">
        <v>0</v>
      </c>
      <c r="E183"/>
      <c r="F183"/>
      <c r="G183"/>
      <c r="H183"/>
      <c r="I183"/>
      <c r="J183"/>
      <c r="K183"/>
      <c r="L183"/>
      <c r="M183"/>
      <c r="N183"/>
      <c r="O183"/>
      <c r="P183"/>
      <c r="Q183"/>
      <c r="R183"/>
      <c r="S183"/>
      <c r="T183"/>
    </row>
    <row r="184" spans="1:20" ht="15">
      <c r="A184" t="s">
        <v>1247</v>
      </c>
      <c r="B184">
        <v>0</v>
      </c>
      <c r="C184">
        <v>0</v>
      </c>
      <c r="D184">
        <v>0</v>
      </c>
      <c r="E184"/>
      <c r="F184"/>
      <c r="G184"/>
      <c r="H184"/>
      <c r="I184"/>
      <c r="J184"/>
      <c r="K184"/>
      <c r="L184"/>
      <c r="M184"/>
      <c r="N184"/>
      <c r="O184"/>
      <c r="P184"/>
      <c r="Q184"/>
      <c r="R184"/>
      <c r="S184"/>
      <c r="T184"/>
    </row>
    <row r="185" spans="1:20" ht="15">
      <c r="A185" t="s">
        <v>1248</v>
      </c>
      <c r="B185">
        <v>0</v>
      </c>
      <c r="C185">
        <v>0</v>
      </c>
      <c r="D185">
        <v>0</v>
      </c>
      <c r="E185"/>
      <c r="F185"/>
      <c r="G185"/>
      <c r="H185"/>
      <c r="I185"/>
      <c r="J185"/>
      <c r="K185"/>
      <c r="L185"/>
      <c r="M185"/>
      <c r="N185"/>
      <c r="O185"/>
      <c r="P185"/>
      <c r="Q185"/>
      <c r="R185"/>
      <c r="S185"/>
      <c r="T185"/>
    </row>
    <row r="186" spans="1:20" ht="15">
      <c r="A186" t="s">
        <v>1249</v>
      </c>
      <c r="B186">
        <v>0</v>
      </c>
      <c r="C186">
        <v>0</v>
      </c>
      <c r="D186">
        <v>0</v>
      </c>
      <c r="E186"/>
      <c r="F186"/>
      <c r="G186"/>
      <c r="H186"/>
      <c r="I186"/>
      <c r="J186"/>
      <c r="K186"/>
      <c r="L186"/>
      <c r="M186"/>
      <c r="N186"/>
      <c r="O186"/>
      <c r="P186"/>
      <c r="Q186"/>
      <c r="R186"/>
      <c r="S186"/>
      <c r="T186"/>
    </row>
    <row r="187" spans="1:20" ht="15">
      <c r="A187" t="s">
        <v>1250</v>
      </c>
      <c r="B187">
        <v>0</v>
      </c>
      <c r="C187">
        <v>0</v>
      </c>
      <c r="D187">
        <v>0</v>
      </c>
      <c r="E187"/>
      <c r="F187"/>
      <c r="G187"/>
      <c r="H187"/>
      <c r="I187"/>
      <c r="J187"/>
      <c r="K187"/>
      <c r="L187"/>
      <c r="M187"/>
      <c r="N187"/>
      <c r="O187"/>
      <c r="P187"/>
      <c r="Q187"/>
      <c r="R187"/>
      <c r="S187"/>
      <c r="T187"/>
    </row>
    <row r="188" spans="1:20" ht="15">
      <c r="A188" t="s">
        <v>1251</v>
      </c>
      <c r="B188">
        <v>0</v>
      </c>
      <c r="C188">
        <v>0</v>
      </c>
      <c r="D188">
        <v>0</v>
      </c>
      <c r="E188"/>
      <c r="F188"/>
      <c r="G188"/>
      <c r="H188"/>
      <c r="I188"/>
      <c r="J188"/>
      <c r="K188"/>
      <c r="L188"/>
      <c r="M188"/>
      <c r="N188"/>
      <c r="O188"/>
      <c r="P188"/>
      <c r="Q188"/>
      <c r="R188"/>
      <c r="S188"/>
      <c r="T188"/>
    </row>
    <row r="189" spans="1:20" ht="15">
      <c r="A189" t="s">
        <v>1252</v>
      </c>
      <c r="B189">
        <v>261983</v>
      </c>
      <c r="C189">
        <v>0</v>
      </c>
      <c r="D189">
        <v>0</v>
      </c>
      <c r="E189"/>
      <c r="F189"/>
      <c r="G189"/>
      <c r="H189"/>
      <c r="I189"/>
      <c r="J189"/>
      <c r="K189"/>
      <c r="L189"/>
      <c r="M189"/>
      <c r="N189"/>
      <c r="O189"/>
      <c r="P189"/>
      <c r="Q189"/>
      <c r="R189"/>
      <c r="S189"/>
      <c r="T189"/>
    </row>
    <row r="190" spans="1:20" ht="15">
      <c r="A190" t="s">
        <v>1253</v>
      </c>
      <c r="B190">
        <v>0</v>
      </c>
      <c r="C190">
        <v>0</v>
      </c>
      <c r="D190">
        <v>0</v>
      </c>
      <c r="E190"/>
      <c r="F190"/>
      <c r="G190"/>
      <c r="H190"/>
      <c r="I190"/>
      <c r="J190"/>
      <c r="K190"/>
      <c r="L190"/>
      <c r="M190"/>
      <c r="N190"/>
      <c r="O190"/>
      <c r="P190"/>
      <c r="Q190"/>
      <c r="R190"/>
      <c r="S190"/>
      <c r="T190"/>
    </row>
    <row r="191" spans="1:20" ht="15">
      <c r="A191" t="s">
        <v>1254</v>
      </c>
      <c r="B191">
        <v>192652</v>
      </c>
      <c r="C191">
        <v>0</v>
      </c>
      <c r="D191">
        <v>0</v>
      </c>
      <c r="E191"/>
      <c r="F191"/>
      <c r="G191"/>
      <c r="H191"/>
      <c r="I191"/>
      <c r="J191"/>
      <c r="K191"/>
      <c r="L191"/>
      <c r="M191"/>
      <c r="N191"/>
      <c r="O191"/>
      <c r="P191"/>
      <c r="Q191"/>
      <c r="R191"/>
      <c r="S191"/>
      <c r="T191"/>
    </row>
    <row r="192" spans="1:20" ht="15">
      <c r="A192" t="s">
        <v>1255</v>
      </c>
      <c r="B192">
        <v>0</v>
      </c>
      <c r="C192">
        <v>0</v>
      </c>
      <c r="D192">
        <v>0</v>
      </c>
      <c r="E192"/>
      <c r="F192"/>
      <c r="G192"/>
      <c r="H192"/>
      <c r="I192"/>
      <c r="J192"/>
      <c r="K192"/>
      <c r="L192"/>
      <c r="M192"/>
      <c r="N192"/>
      <c r="O192"/>
      <c r="P192"/>
      <c r="Q192"/>
      <c r="R192"/>
      <c r="S192"/>
      <c r="T192"/>
    </row>
    <row r="193" spans="1:20" ht="15">
      <c r="A193" t="s">
        <v>1256</v>
      </c>
      <c r="B193">
        <v>0</v>
      </c>
      <c r="C193">
        <v>0</v>
      </c>
      <c r="D193">
        <v>0</v>
      </c>
      <c r="E193"/>
      <c r="F193"/>
      <c r="G193"/>
      <c r="H193"/>
      <c r="I193"/>
      <c r="J193"/>
      <c r="K193"/>
      <c r="L193"/>
      <c r="M193"/>
      <c r="N193"/>
      <c r="O193"/>
      <c r="P193"/>
      <c r="Q193"/>
      <c r="R193"/>
      <c r="S193"/>
      <c r="T193"/>
    </row>
    <row r="194" spans="1:20" ht="15">
      <c r="A194" t="s">
        <v>1257</v>
      </c>
      <c r="B194">
        <v>0</v>
      </c>
      <c r="C194">
        <v>0</v>
      </c>
      <c r="D194">
        <v>0</v>
      </c>
      <c r="E194"/>
      <c r="F194"/>
      <c r="G194"/>
      <c r="H194"/>
      <c r="I194"/>
      <c r="J194"/>
      <c r="K194"/>
      <c r="L194"/>
      <c r="M194"/>
      <c r="N194"/>
      <c r="O194"/>
      <c r="P194"/>
      <c r="Q194"/>
      <c r="R194"/>
      <c r="S194"/>
      <c r="T194"/>
    </row>
    <row r="195" spans="1:20" ht="15">
      <c r="A195" t="s">
        <v>1258</v>
      </c>
      <c r="B195">
        <v>0</v>
      </c>
      <c r="C195">
        <v>0</v>
      </c>
      <c r="D195">
        <v>0</v>
      </c>
      <c r="E195"/>
      <c r="F195"/>
      <c r="G195"/>
      <c r="H195"/>
      <c r="I195"/>
      <c r="J195"/>
      <c r="K195"/>
      <c r="L195"/>
      <c r="M195"/>
      <c r="N195"/>
      <c r="O195"/>
      <c r="P195"/>
      <c r="Q195"/>
      <c r="R195"/>
      <c r="S195"/>
      <c r="T195"/>
    </row>
    <row r="196" spans="1:20" ht="15">
      <c r="A196" t="s">
        <v>1259</v>
      </c>
      <c r="B196">
        <v>0</v>
      </c>
      <c r="C196">
        <v>0</v>
      </c>
      <c r="D196">
        <v>0</v>
      </c>
      <c r="E196"/>
      <c r="F196"/>
      <c r="G196"/>
      <c r="H196"/>
      <c r="I196"/>
      <c r="J196"/>
      <c r="K196"/>
      <c r="L196"/>
      <c r="M196"/>
      <c r="N196"/>
      <c r="O196"/>
      <c r="P196"/>
      <c r="Q196"/>
      <c r="R196"/>
      <c r="S196"/>
      <c r="T196"/>
    </row>
    <row r="197" spans="1:20" ht="15">
      <c r="A197" t="s">
        <v>1260</v>
      </c>
      <c r="B197">
        <v>0</v>
      </c>
      <c r="C197">
        <v>0</v>
      </c>
      <c r="D197">
        <v>0</v>
      </c>
      <c r="E197"/>
      <c r="F197"/>
      <c r="G197"/>
      <c r="H197"/>
      <c r="I197"/>
      <c r="J197"/>
      <c r="K197"/>
      <c r="L197"/>
      <c r="M197"/>
      <c r="N197"/>
      <c r="O197"/>
      <c r="P197"/>
      <c r="Q197"/>
      <c r="R197"/>
      <c r="S197"/>
      <c r="T197"/>
    </row>
    <row r="198" spans="1:20" ht="15">
      <c r="A198" t="s">
        <v>1261</v>
      </c>
      <c r="B198">
        <v>0</v>
      </c>
      <c r="C198">
        <v>0</v>
      </c>
      <c r="D198">
        <v>0</v>
      </c>
      <c r="E198"/>
      <c r="F198"/>
      <c r="G198"/>
      <c r="H198"/>
      <c r="I198"/>
      <c r="J198"/>
      <c r="K198"/>
      <c r="L198"/>
      <c r="M198"/>
      <c r="N198"/>
      <c r="O198"/>
      <c r="P198"/>
      <c r="Q198"/>
      <c r="R198"/>
      <c r="S198"/>
      <c r="T198"/>
    </row>
    <row r="199" spans="1:20" ht="15">
      <c r="A199" t="s">
        <v>1262</v>
      </c>
      <c r="B199">
        <v>1000</v>
      </c>
      <c r="C199">
        <v>0</v>
      </c>
      <c r="D199">
        <v>0</v>
      </c>
      <c r="E199"/>
      <c r="F199"/>
      <c r="G199"/>
      <c r="H199"/>
      <c r="I199"/>
      <c r="J199"/>
      <c r="K199"/>
      <c r="L199"/>
      <c r="M199"/>
      <c r="N199"/>
      <c r="O199"/>
      <c r="P199"/>
      <c r="Q199"/>
      <c r="R199"/>
      <c r="S199"/>
      <c r="T199"/>
    </row>
    <row r="200" spans="1:20" ht="15">
      <c r="A200" t="s">
        <v>1263</v>
      </c>
      <c r="B200">
        <v>0</v>
      </c>
      <c r="C200">
        <v>0</v>
      </c>
      <c r="D200">
        <v>0</v>
      </c>
      <c r="E200"/>
      <c r="F200"/>
      <c r="G200"/>
      <c r="H200"/>
      <c r="I200"/>
      <c r="J200"/>
      <c r="K200"/>
      <c r="L200"/>
      <c r="M200"/>
      <c r="N200"/>
      <c r="O200"/>
      <c r="P200"/>
      <c r="Q200"/>
      <c r="R200"/>
      <c r="S200"/>
      <c r="T200"/>
    </row>
    <row r="201" spans="1:20" ht="15">
      <c r="A201" t="s">
        <v>1264</v>
      </c>
      <c r="B201">
        <v>14250</v>
      </c>
      <c r="C201">
        <v>0</v>
      </c>
      <c r="D201">
        <v>0</v>
      </c>
      <c r="E201"/>
      <c r="F201"/>
      <c r="G201"/>
      <c r="H201"/>
      <c r="I201"/>
      <c r="J201"/>
      <c r="K201"/>
      <c r="L201"/>
      <c r="M201"/>
      <c r="N201"/>
      <c r="O201"/>
      <c r="P201"/>
      <c r="Q201"/>
      <c r="R201"/>
      <c r="S201"/>
      <c r="T201"/>
    </row>
    <row r="202" spans="1:20" ht="15">
      <c r="A202" t="s">
        <v>1265</v>
      </c>
      <c r="B202">
        <v>55772362</v>
      </c>
      <c r="C202">
        <v>0</v>
      </c>
      <c r="D202">
        <v>0</v>
      </c>
      <c r="E202"/>
      <c r="F202"/>
      <c r="G202"/>
      <c r="H202"/>
      <c r="I202"/>
      <c r="J202"/>
      <c r="K202"/>
      <c r="L202"/>
      <c r="M202"/>
      <c r="N202"/>
      <c r="O202"/>
      <c r="P202"/>
      <c r="Q202"/>
      <c r="R202"/>
      <c r="S202"/>
      <c r="T202"/>
    </row>
    <row r="203" spans="1:20" ht="15">
      <c r="A203" t="s">
        <v>1266</v>
      </c>
      <c r="B203">
        <v>18863932</v>
      </c>
      <c r="C203">
        <v>0</v>
      </c>
      <c r="D203">
        <v>0</v>
      </c>
      <c r="E203"/>
      <c r="F203"/>
      <c r="G203"/>
      <c r="H203"/>
      <c r="I203"/>
      <c r="J203"/>
      <c r="K203"/>
      <c r="L203"/>
      <c r="M203"/>
      <c r="N203"/>
      <c r="O203"/>
      <c r="P203"/>
      <c r="Q203"/>
      <c r="R203"/>
      <c r="S203"/>
      <c r="T203"/>
    </row>
    <row r="204" spans="1:20" ht="15">
      <c r="A204" t="s">
        <v>1267</v>
      </c>
      <c r="B204">
        <v>9215</v>
      </c>
      <c r="C204">
        <v>0</v>
      </c>
      <c r="D204">
        <v>0</v>
      </c>
      <c r="E204"/>
      <c r="F204"/>
      <c r="G204"/>
      <c r="H204"/>
      <c r="I204"/>
      <c r="J204"/>
      <c r="K204"/>
      <c r="L204"/>
      <c r="M204"/>
      <c r="N204"/>
      <c r="O204"/>
      <c r="P204"/>
      <c r="Q204"/>
      <c r="R204"/>
      <c r="S204"/>
      <c r="T204"/>
    </row>
    <row r="205" spans="1:20" ht="15">
      <c r="A205" t="s">
        <v>1268</v>
      </c>
      <c r="B205">
        <v>6600524</v>
      </c>
      <c r="C205">
        <v>0</v>
      </c>
      <c r="D205">
        <v>0</v>
      </c>
      <c r="E205"/>
      <c r="F205"/>
      <c r="G205"/>
      <c r="H205"/>
      <c r="I205"/>
      <c r="J205"/>
      <c r="K205"/>
      <c r="L205"/>
      <c r="M205"/>
      <c r="N205"/>
      <c r="O205"/>
      <c r="P205"/>
      <c r="Q205"/>
      <c r="R205"/>
      <c r="S205"/>
      <c r="T205"/>
    </row>
    <row r="206" spans="1:20" ht="15">
      <c r="A206" t="s">
        <v>1269</v>
      </c>
      <c r="B206">
        <v>0</v>
      </c>
      <c r="C206">
        <v>0</v>
      </c>
      <c r="D206">
        <v>0</v>
      </c>
      <c r="E206"/>
      <c r="F206"/>
      <c r="G206"/>
      <c r="H206"/>
      <c r="I206"/>
      <c r="J206"/>
      <c r="K206"/>
      <c r="L206"/>
      <c r="M206"/>
      <c r="N206"/>
      <c r="O206"/>
      <c r="P206"/>
      <c r="Q206"/>
      <c r="R206"/>
      <c r="S206"/>
      <c r="T206"/>
    </row>
    <row r="207" spans="1:20" ht="15">
      <c r="A207" t="s">
        <v>1270</v>
      </c>
      <c r="B207">
        <v>0</v>
      </c>
      <c r="C207">
        <v>0</v>
      </c>
      <c r="D207">
        <v>0</v>
      </c>
      <c r="E207"/>
      <c r="F207"/>
      <c r="G207"/>
      <c r="H207"/>
      <c r="I207"/>
      <c r="J207"/>
      <c r="K207"/>
      <c r="L207"/>
      <c r="M207"/>
      <c r="N207"/>
      <c r="O207"/>
      <c r="P207"/>
      <c r="Q207"/>
      <c r="R207"/>
      <c r="S207"/>
      <c r="T207"/>
    </row>
    <row r="208" spans="1:20" ht="15">
      <c r="A208" t="s">
        <v>1271</v>
      </c>
      <c r="B208">
        <v>0</v>
      </c>
      <c r="C208">
        <v>0</v>
      </c>
      <c r="D208">
        <v>0</v>
      </c>
      <c r="E208"/>
      <c r="F208"/>
      <c r="G208"/>
      <c r="H208"/>
      <c r="I208"/>
      <c r="J208"/>
      <c r="K208"/>
      <c r="L208"/>
      <c r="M208"/>
      <c r="N208"/>
      <c r="O208"/>
      <c r="P208"/>
      <c r="Q208"/>
      <c r="R208"/>
      <c r="S208"/>
      <c r="T208"/>
    </row>
    <row r="209" spans="1:20" ht="15">
      <c r="A209" t="s">
        <v>1272</v>
      </c>
      <c r="B209">
        <v>0</v>
      </c>
      <c r="C209">
        <v>0</v>
      </c>
      <c r="D209">
        <v>0</v>
      </c>
      <c r="E209"/>
      <c r="F209"/>
      <c r="G209"/>
      <c r="H209"/>
      <c r="I209"/>
      <c r="J209"/>
      <c r="K209"/>
      <c r="L209"/>
      <c r="M209"/>
      <c r="N209"/>
      <c r="O209"/>
      <c r="P209"/>
      <c r="Q209"/>
      <c r="R209"/>
      <c r="S209"/>
      <c r="T209"/>
    </row>
    <row r="210" spans="1:20" ht="15">
      <c r="A210" t="s">
        <v>1273</v>
      </c>
      <c r="B210">
        <v>0</v>
      </c>
      <c r="C210">
        <v>0</v>
      </c>
      <c r="D210">
        <v>0</v>
      </c>
      <c r="E210"/>
      <c r="F210"/>
      <c r="G210"/>
      <c r="H210"/>
      <c r="I210"/>
      <c r="J210"/>
      <c r="K210"/>
      <c r="L210"/>
      <c r="M210"/>
      <c r="N210"/>
      <c r="O210"/>
      <c r="P210"/>
      <c r="Q210"/>
      <c r="R210"/>
      <c r="S210"/>
      <c r="T210"/>
    </row>
    <row r="211" spans="1:20" ht="15">
      <c r="A211" t="s">
        <v>1274</v>
      </c>
      <c r="B211">
        <v>0</v>
      </c>
      <c r="C211">
        <v>0</v>
      </c>
      <c r="D211">
        <v>0</v>
      </c>
      <c r="E211"/>
      <c r="F211"/>
      <c r="G211"/>
      <c r="H211"/>
      <c r="I211"/>
      <c r="J211"/>
      <c r="K211"/>
      <c r="L211"/>
      <c r="M211"/>
      <c r="N211"/>
      <c r="O211"/>
      <c r="P211"/>
      <c r="Q211"/>
      <c r="R211"/>
      <c r="S211"/>
      <c r="T211"/>
    </row>
    <row r="212" spans="1:20" ht="15">
      <c r="A212" t="s">
        <v>1275</v>
      </c>
      <c r="B212">
        <v>0</v>
      </c>
      <c r="C212">
        <v>0</v>
      </c>
      <c r="D212">
        <v>0</v>
      </c>
      <c r="E212"/>
      <c r="F212"/>
      <c r="G212"/>
      <c r="H212"/>
      <c r="I212"/>
      <c r="J212"/>
      <c r="K212"/>
      <c r="L212"/>
      <c r="M212"/>
      <c r="N212"/>
      <c r="O212"/>
      <c r="P212"/>
      <c r="Q212"/>
      <c r="R212"/>
      <c r="S212"/>
      <c r="T212"/>
    </row>
    <row r="213" spans="1:20" ht="15">
      <c r="A213" t="s">
        <v>1276</v>
      </c>
      <c r="B213">
        <v>0</v>
      </c>
      <c r="C213">
        <v>0</v>
      </c>
      <c r="D213">
        <v>0</v>
      </c>
      <c r="E213"/>
      <c r="F213"/>
      <c r="G213"/>
      <c r="H213"/>
      <c r="I213"/>
      <c r="J213"/>
      <c r="K213"/>
      <c r="L213"/>
      <c r="M213"/>
      <c r="N213"/>
      <c r="O213"/>
      <c r="P213"/>
      <c r="Q213"/>
      <c r="R213"/>
      <c r="S213"/>
      <c r="T213"/>
    </row>
    <row r="214" spans="1:20" ht="15">
      <c r="A214" t="s">
        <v>1277</v>
      </c>
      <c r="B214">
        <v>0</v>
      </c>
      <c r="C214">
        <v>0</v>
      </c>
      <c r="D214">
        <v>0</v>
      </c>
      <c r="E214"/>
      <c r="F214"/>
      <c r="G214"/>
      <c r="H214"/>
      <c r="I214"/>
      <c r="J214"/>
      <c r="K214"/>
      <c r="L214"/>
      <c r="M214"/>
      <c r="N214"/>
      <c r="O214"/>
      <c r="P214"/>
      <c r="Q214"/>
      <c r="R214"/>
      <c r="S214"/>
      <c r="T214"/>
    </row>
    <row r="215" spans="1:20" ht="15">
      <c r="A215" t="s">
        <v>1278</v>
      </c>
      <c r="B215">
        <v>0</v>
      </c>
      <c r="C215">
        <v>0</v>
      </c>
      <c r="D215">
        <v>0</v>
      </c>
      <c r="E215"/>
      <c r="F215"/>
      <c r="G215"/>
      <c r="H215"/>
      <c r="I215"/>
      <c r="J215"/>
      <c r="K215"/>
      <c r="L215"/>
      <c r="M215"/>
      <c r="N215"/>
      <c r="O215"/>
      <c r="P215"/>
      <c r="Q215"/>
      <c r="R215"/>
      <c r="S215"/>
      <c r="T215"/>
    </row>
    <row r="216" spans="1:20" ht="15">
      <c r="A216" t="s">
        <v>1279</v>
      </c>
      <c r="B216">
        <v>0</v>
      </c>
      <c r="C216">
        <v>0</v>
      </c>
      <c r="D216">
        <v>0</v>
      </c>
      <c r="E216"/>
      <c r="F216"/>
      <c r="G216"/>
      <c r="H216"/>
      <c r="I216"/>
      <c r="J216"/>
      <c r="K216"/>
      <c r="L216"/>
      <c r="M216"/>
      <c r="N216"/>
      <c r="O216"/>
      <c r="P216"/>
      <c r="Q216"/>
      <c r="R216"/>
      <c r="S216"/>
      <c r="T216"/>
    </row>
    <row r="217" spans="1:20" ht="15">
      <c r="A217" t="s">
        <v>1280</v>
      </c>
      <c r="B217">
        <v>0</v>
      </c>
      <c r="C217">
        <v>0</v>
      </c>
      <c r="D217">
        <v>0</v>
      </c>
      <c r="E217"/>
      <c r="F217"/>
      <c r="G217"/>
      <c r="H217"/>
      <c r="I217"/>
      <c r="J217"/>
      <c r="K217"/>
      <c r="L217"/>
      <c r="M217"/>
      <c r="N217"/>
      <c r="O217"/>
      <c r="P217"/>
      <c r="Q217"/>
      <c r="R217"/>
      <c r="S217"/>
      <c r="T217"/>
    </row>
    <row r="218" spans="1:20" ht="15">
      <c r="A218" t="s">
        <v>1281</v>
      </c>
      <c r="B218">
        <v>0</v>
      </c>
      <c r="C218">
        <v>0</v>
      </c>
      <c r="D218">
        <v>0</v>
      </c>
      <c r="E218"/>
      <c r="F218"/>
      <c r="G218"/>
      <c r="H218"/>
      <c r="I218"/>
      <c r="J218"/>
      <c r="K218"/>
      <c r="L218"/>
      <c r="M218"/>
      <c r="N218"/>
      <c r="O218"/>
      <c r="P218"/>
      <c r="Q218"/>
      <c r="R218"/>
      <c r="S218"/>
      <c r="T218"/>
    </row>
    <row r="225" spans="1:6">
      <c r="A225" s="8" t="s">
        <v>1131</v>
      </c>
      <c r="B225" s="9">
        <v>2009</v>
      </c>
      <c r="C225" s="1">
        <v>2010</v>
      </c>
      <c r="D225" s="1">
        <v>2011</v>
      </c>
      <c r="E225" s="1">
        <v>2012</v>
      </c>
      <c r="F225" s="1">
        <v>2013</v>
      </c>
    </row>
    <row r="226" spans="1:6">
      <c r="A226" s="8" t="s">
        <v>1132</v>
      </c>
      <c r="B226" s="10">
        <v>1901</v>
      </c>
      <c r="C226" s="11">
        <v>2747</v>
      </c>
      <c r="D226" s="11">
        <v>2743</v>
      </c>
      <c r="E226" s="11">
        <v>2146</v>
      </c>
      <c r="F226" s="11">
        <v>1797</v>
      </c>
    </row>
    <row r="227" spans="1:6">
      <c r="A227" s="8" t="s">
        <v>1133</v>
      </c>
      <c r="B227" s="10">
        <v>70679</v>
      </c>
      <c r="C227" s="11">
        <v>93908</v>
      </c>
      <c r="D227" s="11">
        <v>98020</v>
      </c>
      <c r="E227" s="11">
        <v>65106</v>
      </c>
      <c r="F227" s="11">
        <v>47485</v>
      </c>
    </row>
    <row r="228" spans="1:6">
      <c r="A228" s="8" t="s">
        <v>1134</v>
      </c>
      <c r="B228" s="10">
        <v>59020</v>
      </c>
      <c r="C228" s="11">
        <v>48953</v>
      </c>
      <c r="D228" s="11">
        <v>44597</v>
      </c>
      <c r="E228" s="11">
        <v>100590</v>
      </c>
      <c r="F228" s="11">
        <v>68541</v>
      </c>
    </row>
    <row r="229" spans="1:6">
      <c r="A229" s="8" t="s">
        <v>1135</v>
      </c>
      <c r="B229" s="10">
        <v>55064</v>
      </c>
      <c r="C229" s="11">
        <v>39572</v>
      </c>
      <c r="D229" s="11">
        <v>33657</v>
      </c>
      <c r="E229" s="11">
        <v>33290</v>
      </c>
      <c r="F229" s="11">
        <v>41441</v>
      </c>
    </row>
    <row r="230" spans="1:6">
      <c r="B230" s="10"/>
      <c r="C230" s="11"/>
      <c r="D230" s="11"/>
      <c r="E230" s="11"/>
      <c r="F230" s="11"/>
    </row>
    <row r="231" spans="1:6">
      <c r="B231" s="10"/>
      <c r="C231" s="11"/>
      <c r="D231" s="11"/>
      <c r="E231" s="11"/>
      <c r="F231" s="11"/>
    </row>
    <row r="232" spans="1:6">
      <c r="B232" s="10"/>
      <c r="C232" s="11"/>
      <c r="D232" s="11"/>
      <c r="E232" s="11"/>
      <c r="F232" s="11"/>
    </row>
    <row r="233" spans="1:6">
      <c r="B233" s="10"/>
      <c r="C233" s="11"/>
      <c r="D233" s="11"/>
      <c r="E233" s="11"/>
      <c r="F233" s="11"/>
    </row>
    <row r="234" spans="1:6">
      <c r="B234" s="10"/>
      <c r="C234" s="11"/>
      <c r="D234" s="11"/>
      <c r="E234" s="11"/>
      <c r="F234" s="11"/>
    </row>
    <row r="235" spans="1:6">
      <c r="B235" s="10"/>
      <c r="C235" s="11"/>
      <c r="D235" s="11"/>
      <c r="E235" s="11"/>
      <c r="F235" s="11"/>
    </row>
    <row r="245" spans="1:5">
      <c r="A245" s="8" t="s">
        <v>1125</v>
      </c>
      <c r="C245" s="1">
        <v>0</v>
      </c>
      <c r="D245" s="1">
        <v>0</v>
      </c>
      <c r="E245" s="1">
        <v>0</v>
      </c>
    </row>
    <row r="246" spans="1:5">
      <c r="A246" s="8" t="s">
        <v>1126</v>
      </c>
      <c r="B246" s="9" t="s">
        <v>9</v>
      </c>
      <c r="C246" s="1">
        <v>2010</v>
      </c>
      <c r="D246" s="1">
        <v>56346</v>
      </c>
      <c r="E246" s="1">
        <v>3075236</v>
      </c>
    </row>
    <row r="247" spans="1:5">
      <c r="A247" s="8" t="s">
        <v>1126</v>
      </c>
      <c r="B247" s="9" t="s">
        <v>9</v>
      </c>
      <c r="C247" s="1">
        <v>2011</v>
      </c>
      <c r="D247" s="1">
        <v>56541</v>
      </c>
      <c r="E247" s="1">
        <v>3096960</v>
      </c>
    </row>
    <row r="248" spans="1:5">
      <c r="A248" s="8" t="s">
        <v>1126</v>
      </c>
      <c r="B248" s="9" t="s">
        <v>9</v>
      </c>
      <c r="C248" s="1">
        <v>2012</v>
      </c>
      <c r="D248" s="1">
        <v>56739</v>
      </c>
      <c r="E248" s="1">
        <v>3346400</v>
      </c>
    </row>
    <row r="249" spans="1:5">
      <c r="A249" s="8" t="s">
        <v>1126</v>
      </c>
      <c r="B249" s="9" t="s">
        <v>9</v>
      </c>
      <c r="C249" s="1">
        <v>2013</v>
      </c>
      <c r="D249" s="1">
        <v>56980</v>
      </c>
      <c r="E249" s="1">
        <v>2918724</v>
      </c>
    </row>
    <row r="250" spans="1:5">
      <c r="A250" s="8" t="s">
        <v>1126</v>
      </c>
      <c r="B250" s="9" t="s">
        <v>9</v>
      </c>
      <c r="C250" s="1">
        <v>2014</v>
      </c>
      <c r="D250" s="1">
        <v>0</v>
      </c>
      <c r="E250" s="1">
        <v>0</v>
      </c>
    </row>
    <row r="251" spans="1:5">
      <c r="A251" s="8" t="s">
        <v>1126</v>
      </c>
      <c r="B251" s="9" t="s">
        <v>9</v>
      </c>
      <c r="C251" s="1">
        <v>2015</v>
      </c>
      <c r="D251" s="1">
        <v>0</v>
      </c>
      <c r="E251" s="1">
        <v>0</v>
      </c>
    </row>
    <row r="252" spans="1:5">
      <c r="A252" s="8" t="s">
        <v>1127</v>
      </c>
      <c r="B252" s="9" t="s">
        <v>1128</v>
      </c>
      <c r="C252" s="1">
        <v>2010</v>
      </c>
      <c r="D252" s="1">
        <v>8873</v>
      </c>
      <c r="E252" s="1">
        <v>3880074</v>
      </c>
    </row>
    <row r="253" spans="1:5">
      <c r="A253" s="8" t="s">
        <v>1127</v>
      </c>
      <c r="B253" s="9" t="s">
        <v>1128</v>
      </c>
      <c r="C253" s="1">
        <v>2011</v>
      </c>
      <c r="D253" s="1">
        <v>8867</v>
      </c>
      <c r="E253" s="1">
        <v>3828263</v>
      </c>
    </row>
    <row r="254" spans="1:5">
      <c r="A254" s="8" t="s">
        <v>1127</v>
      </c>
      <c r="B254" s="9" t="s">
        <v>1128</v>
      </c>
      <c r="C254" s="1">
        <v>2012</v>
      </c>
      <c r="D254" s="1">
        <v>8873</v>
      </c>
      <c r="E254" s="1">
        <v>3933829</v>
      </c>
    </row>
    <row r="255" spans="1:5">
      <c r="A255" s="8" t="s">
        <v>1127</v>
      </c>
      <c r="B255" s="9" t="s">
        <v>1128</v>
      </c>
      <c r="C255" s="1">
        <v>2013</v>
      </c>
      <c r="D255" s="1">
        <v>4773</v>
      </c>
      <c r="E255" s="1">
        <v>1803921</v>
      </c>
    </row>
    <row r="256" spans="1:5">
      <c r="A256" s="8" t="s">
        <v>1127</v>
      </c>
      <c r="B256" s="9" t="s">
        <v>1128</v>
      </c>
      <c r="C256" s="1">
        <v>2014</v>
      </c>
      <c r="D256" s="1">
        <v>0</v>
      </c>
      <c r="E256" s="1">
        <v>0</v>
      </c>
    </row>
    <row r="257" spans="1:5">
      <c r="A257" s="8" t="s">
        <v>1127</v>
      </c>
      <c r="B257" s="9" t="s">
        <v>1128</v>
      </c>
      <c r="C257" s="1">
        <v>2015</v>
      </c>
      <c r="D257" s="1">
        <v>0</v>
      </c>
      <c r="E257" s="1">
        <v>0</v>
      </c>
    </row>
    <row r="258" spans="1:5">
      <c r="A258" s="8" t="s">
        <v>1129</v>
      </c>
      <c r="B258" s="9" t="s">
        <v>10</v>
      </c>
      <c r="C258" s="1">
        <v>2010</v>
      </c>
      <c r="D258" s="1">
        <v>51</v>
      </c>
      <c r="E258" s="1">
        <v>765802</v>
      </c>
    </row>
    <row r="259" spans="1:5">
      <c r="A259" s="8" t="s">
        <v>1129</v>
      </c>
      <c r="B259" s="9" t="s">
        <v>10</v>
      </c>
      <c r="C259" s="1">
        <v>2011</v>
      </c>
      <c r="D259" s="1">
        <v>48</v>
      </c>
      <c r="E259" s="1">
        <v>729360</v>
      </c>
    </row>
    <row r="260" spans="1:5">
      <c r="A260" s="8" t="s">
        <v>1129</v>
      </c>
      <c r="B260" s="9" t="s">
        <v>10</v>
      </c>
      <c r="C260" s="1">
        <v>2012</v>
      </c>
      <c r="D260" s="1">
        <v>48</v>
      </c>
      <c r="E260" s="1">
        <v>607767</v>
      </c>
    </row>
    <row r="261" spans="1:5">
      <c r="A261" s="8" t="s">
        <v>1129</v>
      </c>
      <c r="B261" s="9" t="s">
        <v>10</v>
      </c>
      <c r="C261" s="1">
        <v>2013</v>
      </c>
      <c r="D261" s="1">
        <v>48</v>
      </c>
      <c r="E261" s="1">
        <v>575637</v>
      </c>
    </row>
    <row r="262" spans="1:5">
      <c r="A262" s="8" t="s">
        <v>1129</v>
      </c>
      <c r="B262" s="9" t="s">
        <v>10</v>
      </c>
      <c r="C262" s="1">
        <v>2014</v>
      </c>
      <c r="D262" s="1">
        <v>0</v>
      </c>
      <c r="E262" s="1">
        <v>0</v>
      </c>
    </row>
    <row r="263" spans="1:5">
      <c r="A263" s="8" t="s">
        <v>1129</v>
      </c>
      <c r="B263" s="9" t="s">
        <v>10</v>
      </c>
      <c r="C263" s="1">
        <v>2015</v>
      </c>
      <c r="D263" s="1">
        <v>0</v>
      </c>
      <c r="E263" s="1">
        <v>0</v>
      </c>
    </row>
    <row r="264" spans="1:5">
      <c r="A264" s="8" t="s">
        <v>1130</v>
      </c>
      <c r="B264" s="9" t="s">
        <v>11</v>
      </c>
      <c r="C264" s="1">
        <v>2010</v>
      </c>
      <c r="D264" s="1">
        <v>490</v>
      </c>
      <c r="E264" s="1">
        <v>1300453</v>
      </c>
    </row>
    <row r="265" spans="1:5">
      <c r="A265" s="8" t="s">
        <v>1130</v>
      </c>
      <c r="B265" s="9" t="s">
        <v>11</v>
      </c>
      <c r="C265" s="1">
        <v>2011</v>
      </c>
      <c r="D265" s="1">
        <v>487</v>
      </c>
      <c r="E265" s="1">
        <v>1294357</v>
      </c>
    </row>
    <row r="266" spans="1:5">
      <c r="A266" s="8" t="s">
        <v>1130</v>
      </c>
      <c r="B266" s="9" t="s">
        <v>11</v>
      </c>
      <c r="C266" s="1">
        <v>2012</v>
      </c>
      <c r="D266" s="1">
        <v>486</v>
      </c>
      <c r="E266" s="1">
        <v>1469641</v>
      </c>
    </row>
    <row r="267" spans="1:5">
      <c r="A267" s="8" t="s">
        <v>1130</v>
      </c>
      <c r="B267" s="9" t="s">
        <v>11</v>
      </c>
      <c r="C267" s="1">
        <v>2013</v>
      </c>
      <c r="D267" s="1">
        <v>486</v>
      </c>
      <c r="E267" s="1">
        <v>1438681</v>
      </c>
    </row>
    <row r="268" spans="1:5">
      <c r="A268" s="8" t="s">
        <v>1130</v>
      </c>
      <c r="B268" s="9" t="s">
        <v>11</v>
      </c>
      <c r="C268" s="1">
        <v>2014</v>
      </c>
      <c r="D268" s="1">
        <v>0</v>
      </c>
      <c r="E268" s="1">
        <v>0</v>
      </c>
    </row>
    <row r="269" spans="1:5">
      <c r="A269" s="8" t="s">
        <v>1130</v>
      </c>
      <c r="B269" s="9" t="s">
        <v>11</v>
      </c>
      <c r="C269" s="1">
        <v>2015</v>
      </c>
      <c r="D269" s="1">
        <v>0</v>
      </c>
      <c r="E269" s="1">
        <v>0</v>
      </c>
    </row>
  </sheetData>
  <printOptions headings="1" gridLines="1"/>
  <pageMargins left="0.25" right="0.25" top="1" bottom="0.5" header="0.5" footer="0.5"/>
  <pageSetup scale="75" orientation="landscape" verticalDpi="1200" r:id="rId1"/>
  <headerFooter alignWithMargins="0"/>
</worksheet>
</file>

<file path=xl/worksheets/sheet20.xml><?xml version="1.0" encoding="utf-8"?>
<worksheet xmlns="http://schemas.openxmlformats.org/spreadsheetml/2006/main" xmlns:r="http://schemas.openxmlformats.org/officeDocument/2006/relationships">
  <sheetPr codeName="Sheet17"/>
  <dimension ref="A1:U366"/>
  <sheetViews>
    <sheetView showGridLines="0" topLeftCell="A82" zoomScaleNormal="100" workbookViewId="0">
      <selection activeCell="H105" sqref="H105"/>
    </sheetView>
  </sheetViews>
  <sheetFormatPr defaultColWidth="10.28515625" defaultRowHeight="12.75"/>
  <cols>
    <col min="1" max="1" width="10.28515625" style="91"/>
    <col min="2" max="2" width="10.28515625" style="129" customWidth="1"/>
    <col min="3" max="3" width="45" style="91" customWidth="1"/>
    <col min="4" max="6" width="15.7109375" style="91" customWidth="1"/>
    <col min="7" max="7" width="15.7109375" style="90" customWidth="1"/>
    <col min="8" max="9" width="15.7109375" style="91" customWidth="1"/>
    <col min="10" max="10" width="12.85546875" style="131" customWidth="1"/>
    <col min="11" max="11" width="12.140625" style="131" customWidth="1"/>
    <col min="12" max="16384" width="10.28515625" style="91"/>
  </cols>
  <sheetData>
    <row r="1" spans="1:21" ht="15.75" customHeight="1">
      <c r="A1" s="185"/>
      <c r="B1" s="909" t="str">
        <f>Data!H3 &amp; " Test Year"</f>
        <v>2015 Test Year</v>
      </c>
      <c r="C1" s="665"/>
      <c r="D1" s="665"/>
      <c r="E1" s="665"/>
      <c r="F1" s="665"/>
      <c r="G1" s="665"/>
      <c r="H1" s="665"/>
      <c r="I1" s="665"/>
      <c r="J1" s="665"/>
      <c r="K1" s="666" t="s">
        <v>524</v>
      </c>
      <c r="L1" s="185"/>
      <c r="M1" s="185"/>
      <c r="N1" s="185"/>
      <c r="O1" s="185"/>
      <c r="P1" s="185"/>
      <c r="Q1" s="185"/>
      <c r="R1" s="185"/>
      <c r="S1" s="185"/>
      <c r="T1" s="185"/>
      <c r="U1" s="185"/>
    </row>
    <row r="2" spans="1:21" ht="15.75" customHeight="1">
      <c r="A2" s="185"/>
      <c r="B2" s="667"/>
      <c r="C2" s="773"/>
      <c r="D2" s="1983" t="str">
        <f>Utility</f>
        <v>MADISON WATER UTILITY</v>
      </c>
      <c r="E2" s="1984"/>
      <c r="F2" s="1984"/>
      <c r="G2" s="1984"/>
      <c r="H2" s="665"/>
      <c r="I2" s="666"/>
      <c r="J2" s="665"/>
      <c r="K2" s="666" t="s">
        <v>525</v>
      </c>
      <c r="L2" s="185"/>
      <c r="M2" s="185"/>
      <c r="N2" s="185"/>
      <c r="O2" s="185"/>
      <c r="P2" s="185"/>
      <c r="Q2" s="185"/>
      <c r="R2" s="185"/>
      <c r="S2" s="185"/>
      <c r="T2" s="185"/>
      <c r="U2" s="185"/>
    </row>
    <row r="3" spans="1:21" ht="15.75" customHeight="1">
      <c r="A3" s="185"/>
      <c r="B3" s="774"/>
      <c r="C3" s="773"/>
      <c r="D3" s="671"/>
      <c r="E3" s="671"/>
      <c r="F3" s="671"/>
      <c r="G3" s="671"/>
      <c r="H3" s="665"/>
      <c r="I3" s="665"/>
      <c r="J3" s="773"/>
      <c r="K3" s="773"/>
      <c r="L3" s="185"/>
      <c r="M3" s="185"/>
      <c r="N3" s="185"/>
      <c r="O3" s="185"/>
      <c r="P3" s="185"/>
      <c r="Q3" s="185"/>
      <c r="R3" s="185"/>
      <c r="S3" s="185"/>
      <c r="T3" s="185"/>
      <c r="U3" s="185"/>
    </row>
    <row r="4" spans="1:21" ht="15.75" customHeight="1">
      <c r="A4" s="185"/>
      <c r="B4" s="775"/>
      <c r="C4" s="773" t="s">
        <v>527</v>
      </c>
      <c r="D4" s="1985" t="s">
        <v>526</v>
      </c>
      <c r="E4" s="1984"/>
      <c r="F4" s="1984"/>
      <c r="G4" s="1984"/>
      <c r="H4" s="776"/>
      <c r="I4" s="776"/>
      <c r="J4" s="775"/>
      <c r="K4" s="775"/>
      <c r="L4" s="185"/>
      <c r="M4" s="185"/>
      <c r="N4" s="185"/>
      <c r="O4" s="185"/>
      <c r="P4" s="185"/>
      <c r="Q4" s="185"/>
      <c r="R4" s="185"/>
      <c r="S4" s="185"/>
      <c r="T4" s="185"/>
      <c r="U4" s="185"/>
    </row>
    <row r="5" spans="1:21" ht="15.75" customHeight="1" thickBot="1">
      <c r="A5" s="185"/>
      <c r="B5" s="774"/>
      <c r="C5" s="773"/>
      <c r="D5" s="1986" t="str">
        <f>CONCATENATE("Estimated for Test Year ",TestYear)</f>
        <v>Estimated for Test Year 2015</v>
      </c>
      <c r="E5" s="1987"/>
      <c r="F5" s="1987"/>
      <c r="G5" s="1987"/>
      <c r="H5" s="665"/>
      <c r="I5" s="665"/>
      <c r="J5" s="773"/>
      <c r="K5" s="773"/>
      <c r="L5" s="185"/>
      <c r="M5" s="185"/>
      <c r="N5" s="185"/>
      <c r="O5" s="185"/>
      <c r="P5" s="185"/>
      <c r="Q5" s="185"/>
      <c r="R5" s="185"/>
      <c r="S5" s="185"/>
      <c r="T5" s="185"/>
      <c r="U5" s="185"/>
    </row>
    <row r="6" spans="1:21" ht="15.75" customHeight="1" thickTop="1">
      <c r="A6" s="185"/>
      <c r="B6" s="942"/>
      <c r="C6" s="943"/>
      <c r="D6" s="944"/>
      <c r="E6" s="872"/>
      <c r="F6" s="872"/>
      <c r="G6" s="873"/>
      <c r="H6" s="873"/>
      <c r="I6" s="964" t="str">
        <f>IF(Data!H5="Actual",CONCATENATE(D8,", ",E8,", ",F8,", ",G8),CONCATENATE(D8,", ",E8,", ",F8))</f>
        <v>2011, 2012, 2013</v>
      </c>
      <c r="J6" s="965"/>
      <c r="K6" s="966"/>
      <c r="L6" s="185"/>
      <c r="M6" s="185"/>
      <c r="N6" s="185"/>
      <c r="O6" s="185"/>
      <c r="P6" s="185"/>
      <c r="Q6" s="185"/>
      <c r="R6" s="185"/>
      <c r="S6" s="185"/>
      <c r="T6" s="185"/>
      <c r="U6" s="185"/>
    </row>
    <row r="7" spans="1:21" ht="15.75" customHeight="1">
      <c r="A7" s="185"/>
      <c r="B7" s="795" t="s">
        <v>528</v>
      </c>
      <c r="C7" s="796"/>
      <c r="D7" s="797"/>
      <c r="E7" s="798"/>
      <c r="F7" s="798"/>
      <c r="G7" s="803" t="str">
        <f>Data!H5</f>
        <v>Estimated</v>
      </c>
      <c r="H7" s="804" t="s">
        <v>396</v>
      </c>
      <c r="I7" s="800" t="str">
        <f>IF(Data!H5="Actual", "4 Year", "3 Year")</f>
        <v>3 Year</v>
      </c>
      <c r="J7" s="805" t="str">
        <f>G7</f>
        <v>Estimated</v>
      </c>
      <c r="K7" s="866" t="s">
        <v>396</v>
      </c>
      <c r="L7" s="185"/>
      <c r="M7" s="185"/>
      <c r="N7" s="185"/>
      <c r="O7" s="185"/>
      <c r="P7" s="185"/>
      <c r="Q7" s="185"/>
      <c r="R7" s="185"/>
      <c r="S7" s="185"/>
      <c r="T7" s="185"/>
      <c r="U7" s="185"/>
    </row>
    <row r="8" spans="1:21" ht="15.75" customHeight="1">
      <c r="A8" s="185"/>
      <c r="B8" s="806" t="s">
        <v>529</v>
      </c>
      <c r="C8" s="789" t="s">
        <v>398</v>
      </c>
      <c r="D8" s="790">
        <f>TestYear-4</f>
        <v>2011</v>
      </c>
      <c r="E8" s="790">
        <f>TestYear-3</f>
        <v>2012</v>
      </c>
      <c r="F8" s="791">
        <f>TestYear-2</f>
        <v>2013</v>
      </c>
      <c r="G8" s="790">
        <f>TestYear-1</f>
        <v>2014</v>
      </c>
      <c r="H8" s="791">
        <f>TestYear</f>
        <v>2015</v>
      </c>
      <c r="I8" s="790" t="s">
        <v>256</v>
      </c>
      <c r="J8" s="784">
        <f>TestYear-1</f>
        <v>2014</v>
      </c>
      <c r="K8" s="867">
        <f>TestYear</f>
        <v>2015</v>
      </c>
      <c r="L8" s="185"/>
      <c r="M8" s="185"/>
      <c r="N8" s="185"/>
      <c r="O8" s="185"/>
      <c r="P8" s="185"/>
      <c r="Q8" s="185"/>
      <c r="R8" s="185"/>
      <c r="S8" s="185"/>
      <c r="T8" s="185"/>
      <c r="U8" s="185"/>
    </row>
    <row r="9" spans="1:21" ht="15.75" customHeight="1">
      <c r="A9" s="185"/>
      <c r="B9" s="807" t="s">
        <v>530</v>
      </c>
      <c r="C9" s="780"/>
      <c r="D9" s="854" t="s">
        <v>531</v>
      </c>
      <c r="E9" s="919"/>
      <c r="F9" s="919"/>
      <c r="G9" s="673"/>
      <c r="H9" s="673"/>
      <c r="I9" s="919" t="s">
        <v>531</v>
      </c>
      <c r="J9" s="967"/>
      <c r="K9" s="968"/>
      <c r="L9" s="185"/>
      <c r="M9" s="185"/>
      <c r="N9" s="185"/>
      <c r="O9" s="185"/>
      <c r="P9" s="185"/>
      <c r="Q9" s="185"/>
      <c r="R9" s="185"/>
      <c r="S9" s="185"/>
      <c r="T9" s="185"/>
      <c r="U9" s="185"/>
    </row>
    <row r="10" spans="1:21" ht="15.75" customHeight="1">
      <c r="A10" s="185"/>
      <c r="B10" s="795">
        <v>600</v>
      </c>
      <c r="C10" s="781" t="s">
        <v>533</v>
      </c>
      <c r="D10" s="920">
        <f>Data!B21</f>
        <v>0</v>
      </c>
      <c r="E10" s="920">
        <f>Data!C21</f>
        <v>0</v>
      </c>
      <c r="F10" s="920">
        <f>Data!D21</f>
        <v>0</v>
      </c>
      <c r="G10" s="738">
        <f>Data!E21</f>
        <v>0</v>
      </c>
      <c r="H10" s="921">
        <v>0</v>
      </c>
      <c r="I10" s="920">
        <f>IF(Data!$H$5="Actual", SUM(D10+E10+F10+G10)/4, SUM(D10+E10+F10)/3)</f>
        <v>0</v>
      </c>
      <c r="J10" s="840" t="str">
        <f t="shared" ref="J10:J21" si="0">IF(I10&lt;&gt;0,IF((G10-I10)/I10&gt;0.15,"Explain",IF((G10-I10)/I10&lt;-0.15,"Explain","")),"")</f>
        <v/>
      </c>
      <c r="K10" s="841" t="str">
        <f t="shared" ref="K10:K21" si="1">IF(I10&lt;&gt;0,IF((H10-I10)/I10&gt;0.15,"Explain",IF((H10-I10)/I10&lt; -0.15,"Explain","")),"")</f>
        <v/>
      </c>
      <c r="L10" s="185"/>
      <c r="M10" s="185"/>
      <c r="N10" s="185"/>
      <c r="O10" s="185"/>
      <c r="P10" s="185"/>
      <c r="Q10" s="185"/>
      <c r="R10" s="185"/>
      <c r="S10" s="185"/>
      <c r="T10" s="185"/>
      <c r="U10" s="185"/>
    </row>
    <row r="11" spans="1:21" ht="15.75" customHeight="1">
      <c r="A11" s="185"/>
      <c r="B11" s="795">
        <v>601</v>
      </c>
      <c r="C11" s="781" t="s">
        <v>876</v>
      </c>
      <c r="D11" s="674">
        <f>Data!B22</f>
        <v>0</v>
      </c>
      <c r="E11" s="674">
        <f>Data!C22</f>
        <v>0</v>
      </c>
      <c r="F11" s="674">
        <f>Data!D22</f>
        <v>0</v>
      </c>
      <c r="G11" s="676">
        <f>Data!E22</f>
        <v>0</v>
      </c>
      <c r="H11" s="672">
        <v>0</v>
      </c>
      <c r="I11" s="674">
        <f>IF(Data!$H$5="Actual", SUM(D11+E11+F11+G11)/4, SUM(D11+E11+F11)/3)</f>
        <v>0</v>
      </c>
      <c r="J11" s="840" t="str">
        <f t="shared" si="0"/>
        <v/>
      </c>
      <c r="K11" s="841" t="str">
        <f t="shared" si="1"/>
        <v/>
      </c>
      <c r="L11" s="185"/>
      <c r="M11" s="185"/>
      <c r="N11" s="185"/>
      <c r="O11" s="185"/>
      <c r="P11" s="185"/>
      <c r="Q11" s="185"/>
      <c r="R11" s="185"/>
      <c r="S11" s="185"/>
      <c r="T11" s="185"/>
      <c r="U11" s="185"/>
    </row>
    <row r="12" spans="1:21" ht="15.75" customHeight="1">
      <c r="A12" s="185"/>
      <c r="B12" s="795">
        <v>602</v>
      </c>
      <c r="C12" s="781" t="s">
        <v>534</v>
      </c>
      <c r="D12" s="674">
        <f>Data!B23</f>
        <v>0</v>
      </c>
      <c r="E12" s="674">
        <f>Data!C23</f>
        <v>0</v>
      </c>
      <c r="F12" s="674">
        <f>Data!D23</f>
        <v>0</v>
      </c>
      <c r="G12" s="676">
        <f>Data!E23</f>
        <v>0</v>
      </c>
      <c r="H12" s="672">
        <v>0</v>
      </c>
      <c r="I12" s="674">
        <f>IF(Data!$H$5="Actual", SUM(D12+E12+F12+G12)/4, SUM(D12+E12+F12)/3)</f>
        <v>0</v>
      </c>
      <c r="J12" s="840" t="str">
        <f t="shared" si="0"/>
        <v/>
      </c>
      <c r="K12" s="841" t="str">
        <f t="shared" si="1"/>
        <v/>
      </c>
      <c r="L12" s="185"/>
      <c r="M12" s="185"/>
      <c r="N12" s="185"/>
      <c r="O12" s="185"/>
      <c r="P12" s="185"/>
      <c r="Q12" s="185"/>
      <c r="R12" s="185"/>
      <c r="S12" s="185"/>
      <c r="T12" s="185"/>
      <c r="U12" s="185"/>
    </row>
    <row r="13" spans="1:21" ht="15.75" customHeight="1">
      <c r="A13" s="185"/>
      <c r="B13" s="795">
        <v>603</v>
      </c>
      <c r="C13" s="781" t="s">
        <v>877</v>
      </c>
      <c r="D13" s="674">
        <f>Data!B24</f>
        <v>0</v>
      </c>
      <c r="E13" s="674">
        <f>Data!C24</f>
        <v>0</v>
      </c>
      <c r="F13" s="674">
        <f>Data!D24</f>
        <v>0</v>
      </c>
      <c r="G13" s="676">
        <f>Data!E24</f>
        <v>0</v>
      </c>
      <c r="H13" s="672">
        <v>0</v>
      </c>
      <c r="I13" s="674">
        <f>IF(Data!$H$5="Actual", SUM(D13+E13+F13+G13)/4, SUM(D13+E13+F13)/3)</f>
        <v>0</v>
      </c>
      <c r="J13" s="840" t="str">
        <f t="shared" si="0"/>
        <v/>
      </c>
      <c r="K13" s="841" t="str">
        <f t="shared" si="1"/>
        <v/>
      </c>
      <c r="L13" s="185"/>
      <c r="M13" s="185"/>
      <c r="N13" s="185"/>
      <c r="O13" s="185"/>
      <c r="P13" s="185"/>
      <c r="Q13" s="185"/>
      <c r="R13" s="185"/>
      <c r="S13" s="185"/>
      <c r="T13" s="185"/>
      <c r="U13" s="185"/>
    </row>
    <row r="14" spans="1:21" ht="15.75" customHeight="1">
      <c r="A14" s="185"/>
      <c r="B14" s="795">
        <v>604</v>
      </c>
      <c r="C14" s="781" t="s">
        <v>878</v>
      </c>
      <c r="D14" s="674">
        <f>Data!B25</f>
        <v>0</v>
      </c>
      <c r="E14" s="674">
        <f>Data!C25</f>
        <v>0</v>
      </c>
      <c r="F14" s="674">
        <f>Data!D25</f>
        <v>0</v>
      </c>
      <c r="G14" s="676">
        <f>Data!E25</f>
        <v>0</v>
      </c>
      <c r="H14" s="672">
        <v>0</v>
      </c>
      <c r="I14" s="674">
        <f>IF(Data!$H$5="Actual", SUM(D14+E14+F14+G14)/4, SUM(D14+E14+F14)/3)</f>
        <v>0</v>
      </c>
      <c r="J14" s="840" t="str">
        <f t="shared" si="0"/>
        <v/>
      </c>
      <c r="K14" s="841" t="str">
        <f t="shared" si="1"/>
        <v/>
      </c>
      <c r="L14" s="185"/>
      <c r="M14" s="185"/>
      <c r="N14" s="185"/>
      <c r="O14" s="185"/>
      <c r="P14" s="185"/>
      <c r="Q14" s="185"/>
      <c r="R14" s="185"/>
      <c r="S14" s="185"/>
      <c r="T14" s="185"/>
      <c r="U14" s="185"/>
    </row>
    <row r="15" spans="1:21" ht="15.75" customHeight="1">
      <c r="A15" s="185"/>
      <c r="B15" s="795">
        <v>610</v>
      </c>
      <c r="C15" s="673" t="s">
        <v>879</v>
      </c>
      <c r="D15" s="674">
        <f>Data!B26</f>
        <v>22773</v>
      </c>
      <c r="E15" s="674">
        <f>Data!C26</f>
        <v>25376</v>
      </c>
      <c r="F15" s="674">
        <f>Data!D26</f>
        <v>16620</v>
      </c>
      <c r="G15" s="676">
        <f>AVERAGE(D15:F15)*1.02</f>
        <v>22021.460000000003</v>
      </c>
      <c r="H15" s="672">
        <f>G15*1.02</f>
        <v>22461.889200000001</v>
      </c>
      <c r="I15" s="674">
        <f>IF(Data!$H$5="Actual", SUM(D15+E15+F15+G15)/4, SUM(D15+E15+F15)/3)</f>
        <v>21589.666666666668</v>
      </c>
      <c r="J15" s="840" t="str">
        <f t="shared" si="0"/>
        <v/>
      </c>
      <c r="K15" s="841" t="str">
        <f t="shared" si="1"/>
        <v/>
      </c>
      <c r="L15" s="185"/>
      <c r="M15" s="185"/>
      <c r="N15" s="185"/>
      <c r="O15" s="185"/>
      <c r="P15" s="185"/>
      <c r="Q15" s="185"/>
      <c r="R15" s="185"/>
      <c r="S15" s="185"/>
      <c r="T15" s="185"/>
      <c r="U15" s="185"/>
    </row>
    <row r="16" spans="1:21" ht="15.75" customHeight="1">
      <c r="A16" s="185"/>
      <c r="B16" s="795">
        <v>611</v>
      </c>
      <c r="C16" s="781" t="s">
        <v>880</v>
      </c>
      <c r="D16" s="674">
        <f>Data!B27</f>
        <v>0</v>
      </c>
      <c r="E16" s="674">
        <f>Data!C27</f>
        <v>0</v>
      </c>
      <c r="F16" s="674">
        <f>Data!D27</f>
        <v>0</v>
      </c>
      <c r="G16" s="676">
        <f>Data!E27</f>
        <v>0</v>
      </c>
      <c r="H16" s="672">
        <v>0</v>
      </c>
      <c r="I16" s="674">
        <f>IF(Data!$H$5="Actual", SUM(D16+E16+F16+G16)/4, SUM(D16+E16+F16)/3)</f>
        <v>0</v>
      </c>
      <c r="J16" s="840" t="str">
        <f t="shared" si="0"/>
        <v/>
      </c>
      <c r="K16" s="841" t="str">
        <f t="shared" si="1"/>
        <v/>
      </c>
      <c r="L16" s="185"/>
      <c r="M16" s="185"/>
      <c r="N16" s="185"/>
      <c r="O16" s="185"/>
      <c r="P16" s="185"/>
      <c r="Q16" s="185"/>
      <c r="R16" s="185"/>
      <c r="S16" s="185"/>
      <c r="T16" s="185"/>
      <c r="U16" s="185"/>
    </row>
    <row r="17" spans="1:21" ht="15.75" customHeight="1">
      <c r="A17" s="185"/>
      <c r="B17" s="795">
        <v>612</v>
      </c>
      <c r="C17" s="781" t="s">
        <v>881</v>
      </c>
      <c r="D17" s="674">
        <f>Data!B28</f>
        <v>54512</v>
      </c>
      <c r="E17" s="674">
        <f>Data!C28</f>
        <v>34631</v>
      </c>
      <c r="F17" s="674">
        <f>Data!D28</f>
        <v>43467</v>
      </c>
      <c r="G17" s="676">
        <f>AVERAGE(D17:F17)*1.02</f>
        <v>45087.4</v>
      </c>
      <c r="H17" s="1235">
        <f>G17*1.02</f>
        <v>45989.148000000001</v>
      </c>
      <c r="I17" s="674">
        <f>IF(Data!$H$5="Actual", SUM(D17+E17+F17+G17)/4, SUM(D17+E17+F17)/3)</f>
        <v>44203.333333333336</v>
      </c>
      <c r="J17" s="1822"/>
      <c r="K17" s="841" t="str">
        <f t="shared" si="1"/>
        <v/>
      </c>
      <c r="L17" s="185"/>
      <c r="M17" s="185"/>
      <c r="N17" s="185"/>
      <c r="O17" s="185"/>
      <c r="P17" s="185"/>
      <c r="Q17" s="185"/>
      <c r="R17" s="185"/>
      <c r="S17" s="185"/>
      <c r="T17" s="185"/>
      <c r="U17" s="185"/>
    </row>
    <row r="18" spans="1:21" ht="15.75" customHeight="1">
      <c r="A18" s="185"/>
      <c r="B18" s="795">
        <v>613</v>
      </c>
      <c r="C18" s="781" t="s">
        <v>882</v>
      </c>
      <c r="D18" s="674">
        <f>Data!B29</f>
        <v>0</v>
      </c>
      <c r="E18" s="674">
        <f>Data!C29</f>
        <v>0</v>
      </c>
      <c r="F18" s="674">
        <f>Data!D29</f>
        <v>0</v>
      </c>
      <c r="G18" s="676">
        <f>Data!E29</f>
        <v>0</v>
      </c>
      <c r="H18" s="672">
        <v>0</v>
      </c>
      <c r="I18" s="674">
        <f>IF(Data!$H$5="Actual", SUM(D18+E18+F18+G18)/4, SUM(D18+E18+F18)/3)</f>
        <v>0</v>
      </c>
      <c r="J18" s="840" t="str">
        <f t="shared" si="0"/>
        <v/>
      </c>
      <c r="K18" s="841" t="str">
        <f t="shared" si="1"/>
        <v/>
      </c>
      <c r="L18" s="185"/>
      <c r="M18" s="185"/>
      <c r="N18" s="185"/>
      <c r="O18" s="185"/>
      <c r="P18" s="185"/>
      <c r="Q18" s="185"/>
      <c r="R18" s="185"/>
      <c r="S18" s="185"/>
      <c r="T18" s="185"/>
      <c r="U18" s="185"/>
    </row>
    <row r="19" spans="1:21" ht="15.75" customHeight="1">
      <c r="A19" s="185"/>
      <c r="B19" s="795">
        <v>614</v>
      </c>
      <c r="C19" s="781" t="s">
        <v>883</v>
      </c>
      <c r="D19" s="674">
        <f>Data!B30</f>
        <v>114386</v>
      </c>
      <c r="E19" s="674">
        <f>Data!C30</f>
        <v>0</v>
      </c>
      <c r="F19" s="674">
        <f>Data!D30</f>
        <v>469</v>
      </c>
      <c r="G19" s="676"/>
      <c r="H19" s="1843">
        <v>74602</v>
      </c>
      <c r="I19" s="674">
        <f>IF(Data!$H$5="Actual", SUM(D19+E19+F19+G19)/4, SUM(D19+E19+F19)/3)</f>
        <v>38285</v>
      </c>
      <c r="J19" s="840" t="str">
        <f t="shared" si="0"/>
        <v>Explain</v>
      </c>
      <c r="K19" s="841" t="str">
        <f t="shared" si="1"/>
        <v>Explain</v>
      </c>
      <c r="L19" s="185"/>
      <c r="M19" s="185"/>
      <c r="N19" s="185"/>
      <c r="O19" s="185"/>
      <c r="P19" s="185"/>
      <c r="Q19" s="185"/>
      <c r="R19" s="185"/>
      <c r="S19" s="185"/>
      <c r="T19" s="185"/>
      <c r="U19" s="185"/>
    </row>
    <row r="20" spans="1:21" ht="15.75" customHeight="1">
      <c r="A20" s="185"/>
      <c r="B20" s="795">
        <v>616</v>
      </c>
      <c r="C20" s="781" t="s">
        <v>884</v>
      </c>
      <c r="D20" s="674">
        <f>Data!B31</f>
        <v>0</v>
      </c>
      <c r="E20" s="674">
        <f>Data!C31</f>
        <v>0</v>
      </c>
      <c r="F20" s="674">
        <f>Data!D31</f>
        <v>0</v>
      </c>
      <c r="G20" s="676">
        <f>Data!E31</f>
        <v>0</v>
      </c>
      <c r="H20" s="672">
        <v>0</v>
      </c>
      <c r="I20" s="674">
        <f>IF(Data!$H$5="Actual", SUM(D20+E20+F20+G20)/4, SUM(D20+E20+F20)/3)</f>
        <v>0</v>
      </c>
      <c r="J20" s="840" t="str">
        <f t="shared" si="0"/>
        <v/>
      </c>
      <c r="K20" s="841" t="str">
        <f t="shared" si="1"/>
        <v/>
      </c>
      <c r="L20" s="185"/>
      <c r="M20" s="185"/>
      <c r="N20" s="185"/>
      <c r="O20" s="185"/>
      <c r="P20" s="185"/>
      <c r="Q20" s="185"/>
      <c r="R20" s="185"/>
      <c r="S20" s="185"/>
      <c r="T20" s="185"/>
      <c r="U20" s="185"/>
    </row>
    <row r="21" spans="1:21" ht="15.75" customHeight="1">
      <c r="A21" s="185"/>
      <c r="B21" s="795">
        <v>617</v>
      </c>
      <c r="C21" s="781" t="s">
        <v>885</v>
      </c>
      <c r="D21" s="674">
        <f>Data!B32</f>
        <v>904</v>
      </c>
      <c r="E21" s="674">
        <f>Data!C32</f>
        <v>10895</v>
      </c>
      <c r="F21" s="674">
        <f>Data!D32</f>
        <v>3319</v>
      </c>
      <c r="G21" s="676">
        <f>AVERAGE(D21:F21)*1.02</f>
        <v>5140.12</v>
      </c>
      <c r="H21" s="1235">
        <f>G21*1.02</f>
        <v>5242.9224000000004</v>
      </c>
      <c r="I21" s="674">
        <f>IF(Data!$H$5="Actual", SUM(D21+E21+F21+G21)/4, SUM(D21+E21+F21)/3)</f>
        <v>5039.333333333333</v>
      </c>
      <c r="J21" s="840" t="str">
        <f t="shared" si="0"/>
        <v/>
      </c>
      <c r="K21" s="841" t="str">
        <f t="shared" si="1"/>
        <v/>
      </c>
      <c r="L21" s="185"/>
      <c r="M21" s="185"/>
      <c r="N21" s="185"/>
      <c r="O21" s="185"/>
      <c r="P21" s="185"/>
      <c r="Q21" s="185"/>
      <c r="R21" s="185"/>
      <c r="S21" s="185"/>
      <c r="T21" s="185"/>
      <c r="U21" s="185"/>
    </row>
    <row r="22" spans="1:21" ht="15.75" customHeight="1">
      <c r="A22" s="185"/>
      <c r="B22" s="795"/>
      <c r="C22" s="781"/>
      <c r="D22" s="953"/>
      <c r="E22" s="953"/>
      <c r="F22" s="953"/>
      <c r="G22" s="939"/>
      <c r="H22" s="939"/>
      <c r="I22" s="939"/>
      <c r="J22" s="946"/>
      <c r="K22" s="947"/>
      <c r="L22" s="185"/>
      <c r="M22" s="185"/>
      <c r="N22" s="185"/>
      <c r="O22" s="185"/>
      <c r="P22" s="185"/>
      <c r="Q22" s="185"/>
      <c r="R22" s="185"/>
      <c r="S22" s="185"/>
      <c r="T22" s="185"/>
      <c r="U22" s="185"/>
    </row>
    <row r="23" spans="1:21" ht="15.75" customHeight="1">
      <c r="A23" s="185"/>
      <c r="B23" s="795"/>
      <c r="C23" s="673" t="s">
        <v>537</v>
      </c>
      <c r="D23" s="935">
        <f t="shared" ref="D23:I23" si="2">SUM(D10:D21)</f>
        <v>192575</v>
      </c>
      <c r="E23" s="935">
        <f t="shared" si="2"/>
        <v>70902</v>
      </c>
      <c r="F23" s="935">
        <f t="shared" si="2"/>
        <v>63875</v>
      </c>
      <c r="G23" s="935">
        <f t="shared" si="2"/>
        <v>72248.98</v>
      </c>
      <c r="H23" s="935">
        <f t="shared" si="2"/>
        <v>148295.95960000003</v>
      </c>
      <c r="I23" s="935">
        <f t="shared" si="2"/>
        <v>109117.33333333333</v>
      </c>
      <c r="J23" s="946"/>
      <c r="K23" s="947"/>
      <c r="L23" s="185"/>
      <c r="M23" s="185"/>
      <c r="N23" s="185"/>
      <c r="O23" s="185"/>
      <c r="P23" s="185"/>
      <c r="Q23" s="185"/>
      <c r="R23" s="185"/>
      <c r="S23" s="185"/>
      <c r="T23" s="185"/>
      <c r="U23" s="185"/>
    </row>
    <row r="24" spans="1:21" ht="15.75" customHeight="1">
      <c r="A24" s="185"/>
      <c r="B24" s="795"/>
      <c r="C24" s="673"/>
      <c r="D24" s="854"/>
      <c r="E24" s="854"/>
      <c r="F24" s="854"/>
      <c r="G24" s="853"/>
      <c r="H24" s="853"/>
      <c r="I24" s="853"/>
      <c r="J24" s="946"/>
      <c r="K24" s="947"/>
      <c r="L24" s="185"/>
      <c r="M24" s="185"/>
      <c r="N24" s="185"/>
      <c r="O24" s="185"/>
      <c r="P24" s="185"/>
      <c r="Q24" s="185"/>
      <c r="R24" s="185"/>
      <c r="S24" s="185"/>
      <c r="T24" s="185"/>
      <c r="U24" s="185"/>
    </row>
    <row r="25" spans="1:21" ht="15.75" customHeight="1">
      <c r="A25" s="185"/>
      <c r="B25" s="795">
        <v>620</v>
      </c>
      <c r="C25" s="673" t="s">
        <v>886</v>
      </c>
      <c r="D25" s="920">
        <f>Data!B33</f>
        <v>69862</v>
      </c>
      <c r="E25" s="920">
        <f>Data!C33</f>
        <v>62744</v>
      </c>
      <c r="F25" s="920">
        <f>Data!D33</f>
        <v>67225</v>
      </c>
      <c r="G25" s="676">
        <f>AVERAGE(D25:F25)*1.02</f>
        <v>67942.539999999994</v>
      </c>
      <c r="H25" s="1235">
        <f>G25*1.02</f>
        <v>69301.390799999994</v>
      </c>
      <c r="I25" s="920">
        <f>IF(Data!$H$5="Actual", SUM(D25+E25+F25+G25)/4, SUM(D25+E25+F25)/3)</f>
        <v>66610.333333333328</v>
      </c>
      <c r="J25" s="840" t="str">
        <f t="shared" ref="J25:J36" si="3">IF(I25&lt;&gt;0,IF((G25-I25)/I25&gt;0.15,"Explain",IF((G25-I25)/I25&lt;-0.15,"Explain","")),"")</f>
        <v/>
      </c>
      <c r="K25" s="841" t="str">
        <f t="shared" ref="K25:K36" si="4">IF(I25&lt;&gt;0,IF((H25-I25)/I25&gt;0.15,"Explain",IF((H25-I25)/I25&lt; -0.15,"Explain","")),"")</f>
        <v/>
      </c>
      <c r="L25" s="185"/>
      <c r="M25" s="185"/>
      <c r="N25" s="185"/>
      <c r="O25" s="185"/>
      <c r="P25" s="185"/>
      <c r="Q25" s="185"/>
      <c r="R25" s="185"/>
      <c r="S25" s="185"/>
      <c r="T25" s="185"/>
      <c r="U25" s="185"/>
    </row>
    <row r="26" spans="1:21" ht="15.75" customHeight="1">
      <c r="A26" s="185"/>
      <c r="B26" s="795">
        <v>621</v>
      </c>
      <c r="C26" s="781" t="s">
        <v>538</v>
      </c>
      <c r="D26" s="674">
        <f>Data!B34</f>
        <v>0</v>
      </c>
      <c r="E26" s="674">
        <f>Data!C34</f>
        <v>0</v>
      </c>
      <c r="F26" s="674">
        <f>Data!D34</f>
        <v>0</v>
      </c>
      <c r="G26" s="676">
        <f>Data!E34</f>
        <v>0</v>
      </c>
      <c r="H26" s="672">
        <v>0</v>
      </c>
      <c r="I26" s="674">
        <f>IF(Data!$H$5="Actual", SUM(D26+E26+F26+G26)/4, SUM(D26+E26+F26)/3)</f>
        <v>0</v>
      </c>
      <c r="J26" s="840" t="str">
        <f t="shared" si="3"/>
        <v/>
      </c>
      <c r="K26" s="841" t="str">
        <f t="shared" si="4"/>
        <v/>
      </c>
      <c r="L26" s="185"/>
      <c r="M26" s="185"/>
      <c r="N26" s="185"/>
      <c r="O26" s="185"/>
      <c r="P26" s="185"/>
      <c r="Q26" s="185"/>
      <c r="R26" s="185"/>
      <c r="S26" s="185"/>
      <c r="T26" s="185"/>
      <c r="U26" s="185"/>
    </row>
    <row r="27" spans="1:21" ht="15.75" customHeight="1">
      <c r="A27" s="185"/>
      <c r="B27" s="795">
        <v>622</v>
      </c>
      <c r="C27" s="781" t="s">
        <v>887</v>
      </c>
      <c r="D27" s="674">
        <f>Data!B35</f>
        <v>0</v>
      </c>
      <c r="E27" s="674">
        <f>Data!C35</f>
        <v>0</v>
      </c>
      <c r="F27" s="674">
        <f>Data!D35</f>
        <v>0</v>
      </c>
      <c r="G27" s="676">
        <f>Data!E35</f>
        <v>0</v>
      </c>
      <c r="H27" s="672">
        <v>0</v>
      </c>
      <c r="I27" s="674">
        <f>IF(Data!$H$5="Actual", SUM(D27+E27+F27+G27)/4, SUM(D27+E27+F27)/3)</f>
        <v>0</v>
      </c>
      <c r="J27" s="840" t="str">
        <f t="shared" si="3"/>
        <v/>
      </c>
      <c r="K27" s="841" t="str">
        <f t="shared" si="4"/>
        <v/>
      </c>
      <c r="L27" s="185"/>
      <c r="M27" s="185"/>
      <c r="N27" s="185"/>
      <c r="O27" s="185"/>
      <c r="P27" s="185"/>
      <c r="Q27" s="185"/>
      <c r="R27" s="185"/>
      <c r="S27" s="185"/>
      <c r="T27" s="185"/>
      <c r="U27" s="185"/>
    </row>
    <row r="28" spans="1:21" ht="15.75" customHeight="1">
      <c r="A28" s="185"/>
      <c r="B28" s="795">
        <v>623</v>
      </c>
      <c r="C28" s="781" t="s">
        <v>888</v>
      </c>
      <c r="D28" s="674">
        <f>Data!B36</f>
        <v>2216402</v>
      </c>
      <c r="E28" s="674">
        <f>Data!C36</f>
        <v>2315334</v>
      </c>
      <c r="F28" s="674">
        <f>Data!D36</f>
        <v>2333071</v>
      </c>
      <c r="G28" s="1823">
        <v>2360775.2660632301</v>
      </c>
      <c r="H28" s="1843">
        <v>2678000</v>
      </c>
      <c r="I28" s="674">
        <f>IF(Data!$H$5="Actual", SUM(D28+E28+F28+G28)/4, SUM(D28+E28+F28)/3)</f>
        <v>2288269</v>
      </c>
      <c r="J28" s="840" t="str">
        <f t="shared" si="3"/>
        <v/>
      </c>
      <c r="K28" s="841" t="str">
        <f t="shared" si="4"/>
        <v>Explain</v>
      </c>
      <c r="L28" s="185"/>
      <c r="M28" s="185"/>
      <c r="N28" s="185"/>
      <c r="O28" s="185"/>
      <c r="P28" s="185"/>
      <c r="Q28" s="185"/>
      <c r="R28" s="185"/>
      <c r="S28" s="185"/>
      <c r="T28" s="185"/>
      <c r="U28" s="185"/>
    </row>
    <row r="29" spans="1:21" ht="15.75" customHeight="1">
      <c r="A29" s="185"/>
      <c r="B29" s="795">
        <v>624</v>
      </c>
      <c r="C29" s="781" t="s">
        <v>889</v>
      </c>
      <c r="D29" s="674">
        <f>Data!B37</f>
        <v>322793</v>
      </c>
      <c r="E29" s="674">
        <f>Data!C37</f>
        <v>336127</v>
      </c>
      <c r="F29" s="674">
        <f>Data!D37</f>
        <v>344876</v>
      </c>
      <c r="G29" s="676">
        <f t="shared" ref="G29:G36" si="5">AVERAGE(D29:F29)*1.02</f>
        <v>341290.64</v>
      </c>
      <c r="H29" s="1235">
        <f t="shared" ref="H29:H36" si="6">G29*1.02</f>
        <v>348116.45280000003</v>
      </c>
      <c r="I29" s="674">
        <f>IF(Data!$H$5="Actual", SUM(D29+E29+F29+G29)/4, SUM(D29+E29+F29)/3)</f>
        <v>334598.66666666669</v>
      </c>
      <c r="J29" s="840" t="str">
        <f t="shared" si="3"/>
        <v/>
      </c>
      <c r="K29" s="841" t="str">
        <f t="shared" si="4"/>
        <v/>
      </c>
      <c r="L29" s="185"/>
      <c r="M29" s="185"/>
      <c r="N29" s="185"/>
      <c r="O29" s="185"/>
      <c r="P29" s="185"/>
      <c r="Q29" s="185"/>
      <c r="R29" s="185"/>
      <c r="S29" s="185"/>
      <c r="T29" s="185"/>
      <c r="U29" s="185"/>
    </row>
    <row r="30" spans="1:21" ht="15.75" customHeight="1">
      <c r="A30" s="185"/>
      <c r="B30" s="795">
        <v>625</v>
      </c>
      <c r="C30" s="781" t="s">
        <v>890</v>
      </c>
      <c r="D30" s="674">
        <f>Data!B38</f>
        <v>0</v>
      </c>
      <c r="E30" s="674">
        <f>Data!C38</f>
        <v>0</v>
      </c>
      <c r="F30" s="674">
        <f>Data!D38</f>
        <v>0</v>
      </c>
      <c r="G30" s="676">
        <f t="shared" si="5"/>
        <v>0</v>
      </c>
      <c r="H30" s="1235">
        <f t="shared" si="6"/>
        <v>0</v>
      </c>
      <c r="I30" s="674">
        <f>IF(Data!$H$5="Actual", SUM(D30+E30+F30+G30)/4, SUM(D30+E30+F30)/3)</f>
        <v>0</v>
      </c>
      <c r="J30" s="840" t="str">
        <f t="shared" si="3"/>
        <v/>
      </c>
      <c r="K30" s="841" t="str">
        <f t="shared" si="4"/>
        <v/>
      </c>
      <c r="L30" s="185"/>
      <c r="M30" s="185"/>
      <c r="N30" s="185"/>
      <c r="O30" s="185"/>
      <c r="P30" s="185"/>
      <c r="Q30" s="185"/>
      <c r="R30" s="185"/>
      <c r="S30" s="185"/>
      <c r="T30" s="185"/>
      <c r="U30" s="185"/>
    </row>
    <row r="31" spans="1:21" ht="15.75" customHeight="1">
      <c r="A31" s="185"/>
      <c r="B31" s="795">
        <v>626</v>
      </c>
      <c r="C31" s="781" t="s">
        <v>877</v>
      </c>
      <c r="D31" s="674">
        <f>Data!B39</f>
        <v>366150</v>
      </c>
      <c r="E31" s="674">
        <f>Data!C39</f>
        <v>361343</v>
      </c>
      <c r="F31" s="674">
        <f>Data!D39</f>
        <v>412934</v>
      </c>
      <c r="G31" s="676">
        <f t="shared" si="5"/>
        <v>387745.18</v>
      </c>
      <c r="H31" s="1235">
        <f t="shared" si="6"/>
        <v>395500.08360000001</v>
      </c>
      <c r="I31" s="674">
        <f>IF(Data!$H$5="Actual", SUM(D31+E31+F31+G31)/4, SUM(D31+E31+F31)/3)</f>
        <v>380142.33333333331</v>
      </c>
      <c r="J31" s="840" t="str">
        <f t="shared" si="3"/>
        <v/>
      </c>
      <c r="K31" s="841" t="str">
        <f t="shared" si="4"/>
        <v/>
      </c>
      <c r="L31" s="185"/>
      <c r="M31" s="185"/>
      <c r="N31" s="185"/>
      <c r="O31" s="185"/>
      <c r="P31" s="185"/>
      <c r="Q31" s="185"/>
      <c r="R31" s="185"/>
      <c r="S31" s="185"/>
      <c r="T31" s="185"/>
      <c r="U31" s="185"/>
    </row>
    <row r="32" spans="1:21" ht="15.75" customHeight="1">
      <c r="A32" s="185"/>
      <c r="B32" s="795">
        <v>627</v>
      </c>
      <c r="C32" s="781" t="s">
        <v>878</v>
      </c>
      <c r="D32" s="674">
        <f>Data!B40</f>
        <v>0</v>
      </c>
      <c r="E32" s="674">
        <f>Data!C40</f>
        <v>0</v>
      </c>
      <c r="F32" s="674">
        <f>Data!D40</f>
        <v>0</v>
      </c>
      <c r="G32" s="676">
        <f t="shared" si="5"/>
        <v>0</v>
      </c>
      <c r="H32" s="1235">
        <f t="shared" si="6"/>
        <v>0</v>
      </c>
      <c r="I32" s="674">
        <f>IF(Data!$H$5="Actual", SUM(D32+E32+F32+G32)/4, SUM(D32+E32+F32)/3)</f>
        <v>0</v>
      </c>
      <c r="J32" s="840" t="str">
        <f t="shared" si="3"/>
        <v/>
      </c>
      <c r="K32" s="841" t="str">
        <f t="shared" si="4"/>
        <v/>
      </c>
      <c r="L32" s="185"/>
      <c r="M32" s="185"/>
      <c r="N32" s="185"/>
      <c r="O32" s="185"/>
      <c r="P32" s="185"/>
      <c r="Q32" s="185"/>
      <c r="R32" s="185"/>
      <c r="S32" s="185"/>
      <c r="T32" s="185"/>
      <c r="U32" s="185"/>
    </row>
    <row r="33" spans="1:21" ht="15.75" customHeight="1">
      <c r="A33" s="185"/>
      <c r="B33" s="795">
        <v>630</v>
      </c>
      <c r="C33" s="673" t="s">
        <v>879</v>
      </c>
      <c r="D33" s="674">
        <f>Data!B41</f>
        <v>66157</v>
      </c>
      <c r="E33" s="674">
        <f>Data!C41</f>
        <v>70113</v>
      </c>
      <c r="F33" s="674">
        <f>Data!D41</f>
        <v>44182</v>
      </c>
      <c r="G33" s="676">
        <v>70000</v>
      </c>
      <c r="H33" s="1235">
        <f t="shared" si="6"/>
        <v>71400</v>
      </c>
      <c r="I33" s="674">
        <f>IF(Data!$H$5="Actual", SUM(D33+E33+F33+G33)/4, SUM(D33+E33+F33)/3)</f>
        <v>60150.666666666664</v>
      </c>
      <c r="J33" s="840" t="str">
        <f t="shared" si="3"/>
        <v>Explain</v>
      </c>
      <c r="K33" s="841" t="str">
        <f t="shared" si="4"/>
        <v>Explain</v>
      </c>
      <c r="L33" s="185"/>
      <c r="M33" s="185"/>
      <c r="N33" s="185"/>
      <c r="O33" s="185"/>
      <c r="P33" s="185"/>
      <c r="Q33" s="185"/>
      <c r="R33" s="185"/>
      <c r="S33" s="185"/>
      <c r="T33" s="185"/>
      <c r="U33" s="185"/>
    </row>
    <row r="34" spans="1:21" ht="15.75" customHeight="1">
      <c r="A34" s="185"/>
      <c r="B34" s="795">
        <v>631</v>
      </c>
      <c r="C34" s="781" t="s">
        <v>880</v>
      </c>
      <c r="D34" s="674">
        <f>Data!B42</f>
        <v>108754</v>
      </c>
      <c r="E34" s="674">
        <f>Data!C42</f>
        <v>98671</v>
      </c>
      <c r="F34" s="674">
        <f>Data!D42</f>
        <v>177991</v>
      </c>
      <c r="G34" s="676">
        <f t="shared" si="5"/>
        <v>131041.44</v>
      </c>
      <c r="H34" s="1235">
        <f t="shared" si="6"/>
        <v>133662.26879999999</v>
      </c>
      <c r="I34" s="674">
        <f>IF(Data!$H$5="Actual", SUM(D34+E34+F34+G34)/4, SUM(D34+E34+F34)/3)</f>
        <v>128472</v>
      </c>
      <c r="J34" s="840" t="str">
        <f t="shared" si="3"/>
        <v/>
      </c>
      <c r="K34" s="841" t="str">
        <f t="shared" si="4"/>
        <v/>
      </c>
      <c r="L34" s="185"/>
      <c r="M34" s="185"/>
      <c r="N34" s="185"/>
      <c r="O34" s="185"/>
      <c r="P34" s="185"/>
      <c r="Q34" s="185"/>
      <c r="R34" s="185"/>
      <c r="S34" s="185"/>
      <c r="T34" s="185"/>
      <c r="U34" s="185"/>
    </row>
    <row r="35" spans="1:21" ht="15.75" customHeight="1">
      <c r="A35" s="185"/>
      <c r="B35" s="795">
        <v>632</v>
      </c>
      <c r="C35" s="781" t="s">
        <v>891</v>
      </c>
      <c r="D35" s="674">
        <f>Data!B43</f>
        <v>0</v>
      </c>
      <c r="E35" s="674">
        <f>Data!C43</f>
        <v>0</v>
      </c>
      <c r="F35" s="674">
        <f>Data!D43</f>
        <v>0</v>
      </c>
      <c r="G35" s="676">
        <f t="shared" si="5"/>
        <v>0</v>
      </c>
      <c r="H35" s="1235">
        <f t="shared" si="6"/>
        <v>0</v>
      </c>
      <c r="I35" s="674">
        <f>IF(Data!$H$5="Actual", SUM(D35+E35+F35+G35)/4, SUM(D35+E35+F35)/3)</f>
        <v>0</v>
      </c>
      <c r="J35" s="840" t="str">
        <f t="shared" si="3"/>
        <v/>
      </c>
      <c r="K35" s="841" t="str">
        <f t="shared" si="4"/>
        <v/>
      </c>
      <c r="L35" s="185"/>
      <c r="M35" s="185"/>
      <c r="N35" s="185"/>
      <c r="O35" s="185"/>
      <c r="P35" s="185"/>
      <c r="Q35" s="185"/>
      <c r="R35" s="185"/>
      <c r="S35" s="185"/>
      <c r="T35" s="185"/>
      <c r="U35" s="185"/>
    </row>
    <row r="36" spans="1:21" ht="15.75" customHeight="1">
      <c r="A36" s="185"/>
      <c r="B36" s="795">
        <v>633</v>
      </c>
      <c r="C36" s="781" t="s">
        <v>892</v>
      </c>
      <c r="D36" s="674">
        <f>Data!B44</f>
        <v>327475</v>
      </c>
      <c r="E36" s="674">
        <f>Data!C44</f>
        <v>350310</v>
      </c>
      <c r="F36" s="674">
        <f>Data!D44</f>
        <v>224007</v>
      </c>
      <c r="G36" s="676">
        <f t="shared" si="5"/>
        <v>306609.27999999997</v>
      </c>
      <c r="H36" s="1235">
        <f t="shared" si="6"/>
        <v>312741.4656</v>
      </c>
      <c r="I36" s="674">
        <f>IF(Data!$H$5="Actual", SUM(D36+E36+F36+G36)/4, SUM(D36+E36+F36)/3)</f>
        <v>300597.33333333331</v>
      </c>
      <c r="J36" s="840" t="str">
        <f t="shared" si="3"/>
        <v/>
      </c>
      <c r="K36" s="841" t="str">
        <f t="shared" si="4"/>
        <v/>
      </c>
      <c r="L36" s="185"/>
      <c r="M36" s="185"/>
      <c r="N36" s="185"/>
      <c r="O36" s="185"/>
      <c r="P36" s="185"/>
      <c r="Q36" s="185"/>
      <c r="R36" s="185"/>
      <c r="S36" s="185"/>
      <c r="T36" s="185"/>
      <c r="U36" s="185"/>
    </row>
    <row r="37" spans="1:21" ht="15.75" customHeight="1">
      <c r="A37" s="185"/>
      <c r="B37" s="795"/>
      <c r="C37" s="781"/>
      <c r="D37" s="863"/>
      <c r="E37" s="863"/>
      <c r="F37" s="863"/>
      <c r="G37" s="855"/>
      <c r="H37" s="855"/>
      <c r="I37" s="855"/>
      <c r="J37" s="946"/>
      <c r="K37" s="947"/>
      <c r="L37" s="185"/>
      <c r="M37" s="185"/>
      <c r="N37" s="185"/>
      <c r="O37" s="185"/>
      <c r="P37" s="185"/>
      <c r="Q37" s="185"/>
      <c r="R37" s="185"/>
      <c r="S37" s="185"/>
      <c r="T37" s="185"/>
      <c r="U37" s="185"/>
    </row>
    <row r="38" spans="1:21" ht="15.75" customHeight="1">
      <c r="A38" s="185"/>
      <c r="B38" s="795"/>
      <c r="C38" s="781" t="s">
        <v>541</v>
      </c>
      <c r="D38" s="857">
        <f t="shared" ref="D38:I38" si="7">SUM(D25:D36)</f>
        <v>3477593</v>
      </c>
      <c r="E38" s="857">
        <f t="shared" si="7"/>
        <v>3594642</v>
      </c>
      <c r="F38" s="857">
        <f t="shared" si="7"/>
        <v>3604286</v>
      </c>
      <c r="G38" s="857">
        <f t="shared" si="7"/>
        <v>3665404.3460632302</v>
      </c>
      <c r="H38" s="857">
        <f t="shared" si="7"/>
        <v>4008721.6616000002</v>
      </c>
      <c r="I38" s="857">
        <f t="shared" si="7"/>
        <v>3558840.3333333335</v>
      </c>
      <c r="J38" s="946"/>
      <c r="K38" s="947"/>
      <c r="L38" s="185"/>
      <c r="M38" s="185"/>
      <c r="N38" s="185"/>
      <c r="O38" s="185"/>
      <c r="P38" s="185"/>
      <c r="Q38" s="185"/>
      <c r="R38" s="185"/>
      <c r="S38" s="185"/>
      <c r="T38" s="185"/>
      <c r="U38" s="185"/>
    </row>
    <row r="39" spans="1:21" ht="15.75" customHeight="1">
      <c r="A39" s="185"/>
      <c r="B39" s="552"/>
      <c r="C39" s="781"/>
      <c r="D39" s="954"/>
      <c r="E39" s="954"/>
      <c r="F39" s="954"/>
      <c r="G39" s="940"/>
      <c r="H39" s="940"/>
      <c r="I39" s="940"/>
      <c r="J39" s="946"/>
      <c r="K39" s="947"/>
      <c r="L39" s="185"/>
      <c r="M39" s="185"/>
      <c r="N39" s="185"/>
      <c r="O39" s="185"/>
      <c r="P39" s="185"/>
      <c r="Q39" s="185"/>
      <c r="R39" s="185"/>
      <c r="S39" s="185"/>
      <c r="T39" s="185"/>
      <c r="U39" s="185"/>
    </row>
    <row r="40" spans="1:21" s="106" customFormat="1" ht="15.75" customHeight="1">
      <c r="A40" s="303"/>
      <c r="B40" s="795">
        <v>640</v>
      </c>
      <c r="C40" s="673" t="s">
        <v>886</v>
      </c>
      <c r="D40" s="920">
        <f>Data!B45</f>
        <v>72507</v>
      </c>
      <c r="E40" s="920">
        <f>Data!C45</f>
        <v>73942</v>
      </c>
      <c r="F40" s="920">
        <f>Data!D45</f>
        <v>75029</v>
      </c>
      <c r="G40" s="676">
        <f>AVERAGE(D40:F40)*1.02</f>
        <v>75302.52</v>
      </c>
      <c r="H40" s="1235">
        <f>G40*1.02</f>
        <v>76808.570400000011</v>
      </c>
      <c r="I40" s="920">
        <f>IF(Data!$H$5="Actual", SUM(D40+E40+F40+G40)/4, SUM(D40+E40+F40)/3)</f>
        <v>73826</v>
      </c>
      <c r="J40" s="840" t="str">
        <f t="shared" ref="J40:J47" si="8">IF(I40&lt;&gt;0,IF((G40-I40)/I40&gt;0.15,"Explain",IF((G40-I40)/I40&lt;-0.15,"Explain","")),"")</f>
        <v/>
      </c>
      <c r="K40" s="841" t="str">
        <f t="shared" ref="K40:K47" si="9">IF(I40&lt;&gt;0,IF((H40-I40)/I40&gt;0.15,"Explain",IF((H40-I40)/I40&lt; -0.15,"Explain","")),"")</f>
        <v/>
      </c>
      <c r="L40" s="303"/>
      <c r="M40" s="303"/>
      <c r="N40" s="303"/>
      <c r="O40" s="303"/>
      <c r="P40" s="303"/>
      <c r="Q40" s="303"/>
      <c r="R40" s="303"/>
      <c r="S40" s="303"/>
      <c r="T40" s="303"/>
      <c r="U40" s="303"/>
    </row>
    <row r="41" spans="1:21" s="106" customFormat="1" ht="15.75" customHeight="1">
      <c r="A41" s="303"/>
      <c r="B41" s="795">
        <v>641</v>
      </c>
      <c r="C41" s="781" t="s">
        <v>542</v>
      </c>
      <c r="D41" s="674">
        <f>Data!B46</f>
        <v>177728</v>
      </c>
      <c r="E41" s="674">
        <f>Data!C46</f>
        <v>167490</v>
      </c>
      <c r="F41" s="674">
        <f>Data!D46</f>
        <v>164135</v>
      </c>
      <c r="G41" s="676">
        <f t="shared" ref="G41:G47" si="10">AVERAGE(D41:F41)*1.02</f>
        <v>173180.02000000002</v>
      </c>
      <c r="H41" s="1235">
        <f t="shared" ref="H41:H47" si="11">G41*1.02</f>
        <v>176643.62040000001</v>
      </c>
      <c r="I41" s="674">
        <f>IF(Data!$H$5="Actual", SUM(D41+E41+F41+G41)/4, SUM(D41+E41+F41)/3)</f>
        <v>169784.33333333334</v>
      </c>
      <c r="J41" s="840" t="str">
        <f t="shared" si="8"/>
        <v/>
      </c>
      <c r="K41" s="841" t="str">
        <f t="shared" si="9"/>
        <v/>
      </c>
      <c r="L41" s="303"/>
      <c r="M41" s="303"/>
      <c r="N41" s="303"/>
      <c r="O41" s="303"/>
      <c r="P41" s="303"/>
      <c r="Q41" s="303"/>
      <c r="R41" s="303"/>
      <c r="S41" s="303"/>
      <c r="T41" s="303"/>
      <c r="U41" s="303"/>
    </row>
    <row r="42" spans="1:21" s="106" customFormat="1" ht="15.75" customHeight="1">
      <c r="A42" s="303"/>
      <c r="B42" s="795">
        <v>642</v>
      </c>
      <c r="C42" s="781" t="s">
        <v>876</v>
      </c>
      <c r="D42" s="674">
        <f>Data!B47</f>
        <v>409390</v>
      </c>
      <c r="E42" s="674">
        <f>Data!C47</f>
        <v>371279</v>
      </c>
      <c r="F42" s="674">
        <f>Data!D47</f>
        <v>293905</v>
      </c>
      <c r="G42" s="676">
        <f t="shared" si="10"/>
        <v>365355.16</v>
      </c>
      <c r="H42" s="1235">
        <f t="shared" si="11"/>
        <v>372662.26319999999</v>
      </c>
      <c r="I42" s="674">
        <f>IF(Data!$H$5="Actual", SUM(D42+E42+F42+G42)/4, SUM(D42+E42+F42)/3)</f>
        <v>358191.33333333331</v>
      </c>
      <c r="J42" s="840" t="str">
        <f t="shared" si="8"/>
        <v/>
      </c>
      <c r="K42" s="841" t="str">
        <f t="shared" si="9"/>
        <v/>
      </c>
      <c r="L42" s="303"/>
      <c r="M42" s="303"/>
      <c r="N42" s="303"/>
      <c r="O42" s="303"/>
      <c r="P42" s="303"/>
      <c r="Q42" s="303"/>
      <c r="R42" s="303"/>
      <c r="S42" s="303"/>
      <c r="T42" s="303"/>
      <c r="U42" s="303"/>
    </row>
    <row r="43" spans="1:21" s="106" customFormat="1" ht="15.75" customHeight="1">
      <c r="A43" s="303"/>
      <c r="B43" s="795">
        <v>643</v>
      </c>
      <c r="C43" s="781" t="s">
        <v>877</v>
      </c>
      <c r="D43" s="674">
        <f>Data!B48</f>
        <v>9896</v>
      </c>
      <c r="E43" s="674">
        <f>Data!C48</f>
        <v>8837</v>
      </c>
      <c r="F43" s="674">
        <f>Data!D48</f>
        <v>103312</v>
      </c>
      <c r="G43" s="676">
        <f>AVERAGE(D43:E43)*1.02</f>
        <v>9553.83</v>
      </c>
      <c r="H43" s="1843">
        <v>38747</v>
      </c>
      <c r="I43" s="674">
        <f>IF(Data!$H$5="Actual", SUM(D43+E43+F43+G43)/4, SUM(D43+E43+F43)/3)</f>
        <v>40681.666666666664</v>
      </c>
      <c r="J43" s="840" t="str">
        <f t="shared" si="8"/>
        <v>Explain</v>
      </c>
      <c r="K43" s="841" t="str">
        <f t="shared" si="9"/>
        <v/>
      </c>
      <c r="L43" s="303"/>
      <c r="M43" s="303"/>
      <c r="N43" s="303"/>
      <c r="O43" s="303"/>
      <c r="P43" s="303"/>
      <c r="Q43" s="303"/>
      <c r="R43" s="303"/>
      <c r="S43" s="303"/>
      <c r="T43" s="303"/>
      <c r="U43" s="303"/>
    </row>
    <row r="44" spans="1:21" s="106" customFormat="1" ht="15.75" customHeight="1">
      <c r="A44" s="303"/>
      <c r="B44" s="795">
        <v>644</v>
      </c>
      <c r="C44" s="781" t="s">
        <v>878</v>
      </c>
      <c r="D44" s="674">
        <f>Data!B49</f>
        <v>0</v>
      </c>
      <c r="E44" s="674">
        <f>Data!C49</f>
        <v>0</v>
      </c>
      <c r="F44" s="674">
        <f>Data!D49</f>
        <v>0</v>
      </c>
      <c r="G44" s="676">
        <f t="shared" si="10"/>
        <v>0</v>
      </c>
      <c r="H44" s="1235">
        <f t="shared" si="11"/>
        <v>0</v>
      </c>
      <c r="I44" s="674">
        <f>IF(Data!$H$5="Actual", SUM(D44+E44+F44+G44)/4, SUM(D44+E44+F44)/3)</f>
        <v>0</v>
      </c>
      <c r="J44" s="840" t="str">
        <f t="shared" si="8"/>
        <v/>
      </c>
      <c r="K44" s="841" t="str">
        <f t="shared" si="9"/>
        <v/>
      </c>
      <c r="L44" s="303"/>
      <c r="M44" s="303"/>
      <c r="N44" s="303"/>
      <c r="O44" s="303"/>
      <c r="P44" s="303"/>
      <c r="Q44" s="303"/>
      <c r="R44" s="303"/>
      <c r="S44" s="303"/>
      <c r="T44" s="303"/>
      <c r="U44" s="303"/>
    </row>
    <row r="45" spans="1:21" s="106" customFormat="1" ht="15.75" customHeight="1">
      <c r="A45" s="303"/>
      <c r="B45" s="795">
        <v>650</v>
      </c>
      <c r="C45" s="673" t="s">
        <v>879</v>
      </c>
      <c r="D45" s="674">
        <f>Data!B50</f>
        <v>22790</v>
      </c>
      <c r="E45" s="674">
        <f>Data!C50</f>
        <v>25046</v>
      </c>
      <c r="F45" s="674">
        <f>Data!D50</f>
        <v>21027</v>
      </c>
      <c r="G45" s="676">
        <f t="shared" si="10"/>
        <v>23413.42</v>
      </c>
      <c r="H45" s="1235">
        <f t="shared" si="11"/>
        <v>23881.688399999999</v>
      </c>
      <c r="I45" s="674">
        <f>IF(Data!$H$5="Actual", SUM(D45+E45+F45+G45)/4, SUM(D45+E45+F45)/3)</f>
        <v>22954.333333333332</v>
      </c>
      <c r="J45" s="840" t="str">
        <f t="shared" si="8"/>
        <v/>
      </c>
      <c r="K45" s="841" t="str">
        <f t="shared" si="9"/>
        <v/>
      </c>
      <c r="L45" s="303"/>
      <c r="M45" s="303"/>
      <c r="N45" s="303"/>
      <c r="O45" s="303"/>
      <c r="P45" s="303"/>
      <c r="Q45" s="303"/>
      <c r="R45" s="303"/>
      <c r="S45" s="303"/>
      <c r="T45" s="303"/>
      <c r="U45" s="303"/>
    </row>
    <row r="46" spans="1:21" s="106" customFormat="1" ht="15.75" customHeight="1">
      <c r="A46" s="303"/>
      <c r="B46" s="795">
        <v>651</v>
      </c>
      <c r="C46" s="781" t="s">
        <v>880</v>
      </c>
      <c r="D46" s="674">
        <f>Data!B51</f>
        <v>0</v>
      </c>
      <c r="E46" s="674">
        <f>Data!C51</f>
        <v>0</v>
      </c>
      <c r="F46" s="674">
        <f>Data!D51</f>
        <v>0</v>
      </c>
      <c r="G46" s="676">
        <f t="shared" si="10"/>
        <v>0</v>
      </c>
      <c r="H46" s="1235">
        <f t="shared" si="11"/>
        <v>0</v>
      </c>
      <c r="I46" s="674">
        <f>IF(Data!$H$5="Actual", SUM(D46+E46+F46+G46)/4, SUM(D46+E46+F46)/3)</f>
        <v>0</v>
      </c>
      <c r="J46" s="840" t="str">
        <f t="shared" si="8"/>
        <v/>
      </c>
      <c r="K46" s="841" t="str">
        <f t="shared" si="9"/>
        <v/>
      </c>
      <c r="L46" s="303"/>
      <c r="M46" s="303"/>
      <c r="N46" s="303"/>
      <c r="O46" s="303"/>
      <c r="P46" s="303"/>
      <c r="Q46" s="303"/>
      <c r="R46" s="303"/>
      <c r="S46" s="303"/>
      <c r="T46" s="303"/>
      <c r="U46" s="303"/>
    </row>
    <row r="47" spans="1:21" ht="15.75" customHeight="1">
      <c r="A47" s="185"/>
      <c r="B47" s="795">
        <v>652</v>
      </c>
      <c r="C47" s="781" t="s">
        <v>893</v>
      </c>
      <c r="D47" s="674">
        <f>Data!B52</f>
        <v>70298</v>
      </c>
      <c r="E47" s="674">
        <f>Data!C52</f>
        <v>101883</v>
      </c>
      <c r="F47" s="674">
        <f>Data!D52</f>
        <v>117636</v>
      </c>
      <c r="G47" s="676">
        <f t="shared" si="10"/>
        <v>98537.780000000013</v>
      </c>
      <c r="H47" s="1235">
        <f t="shared" si="11"/>
        <v>100508.53560000002</v>
      </c>
      <c r="I47" s="674">
        <f>IF(Data!$H$5="Actual", SUM(D47+E47+F47+G47)/4, SUM(D47+E47+F47)/3)</f>
        <v>96605.666666666672</v>
      </c>
      <c r="J47" s="840" t="str">
        <f t="shared" si="8"/>
        <v/>
      </c>
      <c r="K47" s="841" t="str">
        <f t="shared" si="9"/>
        <v/>
      </c>
      <c r="L47" s="185"/>
      <c r="M47" s="185"/>
      <c r="N47" s="185"/>
      <c r="O47" s="185"/>
      <c r="P47" s="185"/>
      <c r="Q47" s="185"/>
      <c r="R47" s="185"/>
      <c r="S47" s="185"/>
      <c r="T47" s="185"/>
      <c r="U47" s="185"/>
    </row>
    <row r="48" spans="1:21" ht="15.75" customHeight="1">
      <c r="A48" s="185"/>
      <c r="B48" s="702"/>
      <c r="C48" s="673"/>
      <c r="D48" s="954"/>
      <c r="E48" s="954"/>
      <c r="F48" s="954"/>
      <c r="G48" s="940"/>
      <c r="H48" s="940"/>
      <c r="I48" s="940"/>
      <c r="J48" s="810"/>
      <c r="K48" s="838"/>
      <c r="L48" s="185"/>
      <c r="M48" s="185"/>
      <c r="N48" s="185"/>
      <c r="O48" s="185"/>
      <c r="P48" s="185"/>
      <c r="Q48" s="185"/>
      <c r="R48" s="185"/>
      <c r="S48" s="185"/>
      <c r="T48" s="185"/>
      <c r="U48" s="185"/>
    </row>
    <row r="49" spans="1:21" ht="15.75" customHeight="1">
      <c r="A49" s="185"/>
      <c r="B49" s="807"/>
      <c r="C49" s="673" t="s">
        <v>894</v>
      </c>
      <c r="D49" s="935">
        <f t="shared" ref="D49:I49" si="12">SUM(D40:D47)</f>
        <v>762609</v>
      </c>
      <c r="E49" s="935">
        <f t="shared" si="12"/>
        <v>748477</v>
      </c>
      <c r="F49" s="935">
        <f t="shared" si="12"/>
        <v>775044</v>
      </c>
      <c r="G49" s="935">
        <f t="shared" si="12"/>
        <v>745342.73</v>
      </c>
      <c r="H49" s="935">
        <f t="shared" si="12"/>
        <v>789251.67800000007</v>
      </c>
      <c r="I49" s="935">
        <f t="shared" si="12"/>
        <v>762043.33333333326</v>
      </c>
      <c r="J49" s="810"/>
      <c r="K49" s="838"/>
      <c r="L49" s="185"/>
      <c r="M49" s="185"/>
      <c r="N49" s="185"/>
      <c r="O49" s="185"/>
      <c r="P49" s="185"/>
      <c r="Q49" s="185"/>
      <c r="R49" s="185"/>
      <c r="S49" s="185"/>
      <c r="T49" s="185"/>
      <c r="U49" s="185"/>
    </row>
    <row r="50" spans="1:21" ht="15.75" customHeight="1">
      <c r="A50" s="185"/>
      <c r="B50" s="807"/>
      <c r="C50" s="781"/>
      <c r="D50" s="920"/>
      <c r="E50" s="920"/>
      <c r="F50" s="920"/>
      <c r="G50" s="738"/>
      <c r="H50" s="738"/>
      <c r="I50" s="738"/>
      <c r="J50" s="810"/>
      <c r="K50" s="838"/>
      <c r="L50" s="185"/>
      <c r="M50" s="185"/>
      <c r="N50" s="185"/>
      <c r="O50" s="185"/>
      <c r="P50" s="185"/>
      <c r="Q50" s="185"/>
      <c r="R50" s="185"/>
      <c r="S50" s="185"/>
      <c r="T50" s="185"/>
      <c r="U50" s="185"/>
    </row>
    <row r="51" spans="1:21" ht="15.75" customHeight="1">
      <c r="A51" s="185"/>
      <c r="B51" s="929" t="s">
        <v>423</v>
      </c>
      <c r="C51" s="886" t="str">
        <f>CONCATENATE("All ",TestYear-1," and test year ",TestYear," estimates that vary from the three year average by")</f>
        <v>All 2014 and test year 2015 estimates that vary from the three year average by</v>
      </c>
      <c r="D51" s="738"/>
      <c r="E51" s="738"/>
      <c r="F51" s="738"/>
      <c r="G51" s="738"/>
      <c r="H51" s="738"/>
      <c r="I51" s="738"/>
      <c r="J51" s="810"/>
      <c r="K51" s="838"/>
      <c r="L51" s="185"/>
      <c r="M51" s="185"/>
      <c r="N51" s="185"/>
      <c r="O51" s="185"/>
      <c r="P51" s="185"/>
      <c r="Q51" s="185"/>
      <c r="R51" s="185"/>
      <c r="S51" s="185"/>
      <c r="T51" s="185"/>
      <c r="U51" s="185"/>
    </row>
    <row r="52" spans="1:21" ht="15.75" customHeight="1">
      <c r="A52" s="185"/>
      <c r="B52" s="861"/>
      <c r="C52" s="860" t="s">
        <v>982</v>
      </c>
      <c r="D52" s="738"/>
      <c r="E52" s="738"/>
      <c r="F52" s="738"/>
      <c r="G52" s="738"/>
      <c r="H52" s="738"/>
      <c r="I52" s="738"/>
      <c r="J52" s="810"/>
      <c r="K52" s="838"/>
      <c r="L52" s="185"/>
      <c r="M52" s="185"/>
      <c r="N52" s="185"/>
      <c r="O52" s="185"/>
      <c r="P52" s="185"/>
      <c r="Q52" s="185"/>
      <c r="R52" s="185"/>
      <c r="S52" s="185"/>
      <c r="T52" s="185"/>
      <c r="U52" s="185"/>
    </row>
    <row r="53" spans="1:21" ht="15.75" customHeight="1" thickBot="1">
      <c r="A53" s="185"/>
      <c r="B53" s="948"/>
      <c r="C53" s="818"/>
      <c r="D53" s="385"/>
      <c r="E53" s="385"/>
      <c r="F53" s="385"/>
      <c r="G53" s="385"/>
      <c r="H53" s="818"/>
      <c r="I53" s="949"/>
      <c r="J53" s="818"/>
      <c r="K53" s="950"/>
      <c r="L53" s="185"/>
      <c r="M53" s="185"/>
      <c r="N53" s="185"/>
      <c r="O53" s="185"/>
      <c r="P53" s="185"/>
      <c r="Q53" s="185"/>
      <c r="R53" s="185"/>
      <c r="S53" s="185"/>
      <c r="T53" s="185"/>
      <c r="U53" s="185"/>
    </row>
    <row r="54" spans="1:21" ht="15.75" customHeight="1" thickTop="1">
      <c r="A54" s="185"/>
      <c r="B54" s="931"/>
      <c r="C54" s="316"/>
      <c r="D54" s="185"/>
      <c r="E54" s="185"/>
      <c r="F54" s="185"/>
      <c r="G54" s="185"/>
      <c r="H54" s="186"/>
      <c r="I54" s="659"/>
      <c r="J54" s="186"/>
      <c r="K54" s="659"/>
      <c r="L54" s="185"/>
      <c r="M54" s="185"/>
      <c r="N54" s="185"/>
      <c r="O54" s="185"/>
      <c r="P54" s="185"/>
      <c r="Q54" s="185"/>
      <c r="R54" s="185"/>
      <c r="S54" s="185"/>
      <c r="T54" s="185"/>
      <c r="U54" s="185"/>
    </row>
    <row r="55" spans="1:21" ht="15.75" customHeight="1">
      <c r="A55" s="185"/>
      <c r="B55" s="931"/>
      <c r="C55" s="316"/>
      <c r="D55" s="185"/>
      <c r="E55" s="185"/>
      <c r="F55" s="185"/>
      <c r="G55" s="185"/>
      <c r="H55" s="186"/>
      <c r="I55" s="659"/>
      <c r="J55" s="186"/>
      <c r="K55" s="659"/>
      <c r="L55" s="185"/>
      <c r="M55" s="185"/>
      <c r="N55" s="185"/>
      <c r="O55" s="185"/>
      <c r="P55" s="185"/>
      <c r="Q55" s="185"/>
      <c r="R55" s="185"/>
      <c r="S55" s="185"/>
      <c r="T55" s="185"/>
      <c r="U55" s="185"/>
    </row>
    <row r="56" spans="1:21" ht="15.75" customHeight="1">
      <c r="A56" s="185"/>
      <c r="B56" s="932" t="str">
        <f>B1</f>
        <v>2015 Test Year</v>
      </c>
      <c r="C56" s="823"/>
      <c r="D56" s="1983" t="str">
        <f>Utility</f>
        <v>MADISON WATER UTILITY</v>
      </c>
      <c r="E56" s="1984"/>
      <c r="F56" s="1984"/>
      <c r="G56" s="1984"/>
      <c r="H56" s="667"/>
      <c r="I56" s="667"/>
      <c r="J56" s="665"/>
      <c r="K56" s="666" t="s">
        <v>524</v>
      </c>
      <c r="L56" s="185"/>
      <c r="M56" s="185"/>
      <c r="N56" s="185"/>
      <c r="O56" s="185"/>
      <c r="P56" s="185"/>
      <c r="Q56" s="185"/>
      <c r="R56" s="185"/>
      <c r="S56" s="185"/>
      <c r="T56" s="185"/>
      <c r="U56" s="185"/>
    </row>
    <row r="57" spans="1:21" ht="15.75" customHeight="1">
      <c r="A57" s="185"/>
      <c r="B57" s="823"/>
      <c r="C57" s="823"/>
      <c r="D57" s="1985" t="str">
        <f>D4</f>
        <v>OPERATING EXPENSES</v>
      </c>
      <c r="E57" s="1988"/>
      <c r="F57" s="1988"/>
      <c r="G57" s="1988"/>
      <c r="H57" s="667"/>
      <c r="I57" s="667"/>
      <c r="J57" s="773"/>
      <c r="K57" s="666" t="s">
        <v>552</v>
      </c>
      <c r="L57" s="185"/>
      <c r="M57" s="185"/>
      <c r="N57" s="185"/>
      <c r="O57" s="185"/>
      <c r="P57" s="185"/>
      <c r="Q57" s="185"/>
      <c r="R57" s="185"/>
      <c r="S57" s="185"/>
      <c r="T57" s="185"/>
      <c r="U57" s="185"/>
    </row>
    <row r="58" spans="1:21" ht="15.75" customHeight="1" thickBot="1">
      <c r="A58" s="185"/>
      <c r="B58" s="823"/>
      <c r="C58" s="821"/>
      <c r="D58" s="1982" t="str">
        <f>CONCATENATE("Estimated for Test Year ",TestYear)</f>
        <v>Estimated for Test Year 2015</v>
      </c>
      <c r="E58" s="1982"/>
      <c r="F58" s="1982"/>
      <c r="G58" s="1982"/>
      <c r="H58" s="665"/>
      <c r="I58" s="665"/>
      <c r="J58" s="773"/>
      <c r="K58" s="773"/>
      <c r="L58" s="185"/>
      <c r="M58" s="185"/>
      <c r="N58" s="185"/>
      <c r="O58" s="185"/>
      <c r="P58" s="185"/>
      <c r="Q58" s="185"/>
      <c r="R58" s="185"/>
      <c r="S58" s="185"/>
      <c r="T58" s="185"/>
      <c r="U58" s="185"/>
    </row>
    <row r="59" spans="1:21" ht="15.75" customHeight="1" thickTop="1">
      <c r="A59" s="185"/>
      <c r="B59" s="942"/>
      <c r="C59" s="943"/>
      <c r="D59" s="951"/>
      <c r="E59" s="951"/>
      <c r="F59" s="951"/>
      <c r="G59" s="951"/>
      <c r="H59" s="951"/>
      <c r="I59" s="956" t="str">
        <f>I6</f>
        <v>2011, 2012, 2013</v>
      </c>
      <c r="J59" s="957"/>
      <c r="K59" s="958"/>
      <c r="L59" s="185"/>
      <c r="M59" s="185"/>
      <c r="N59" s="185"/>
      <c r="O59" s="185"/>
      <c r="P59" s="185"/>
      <c r="Q59" s="185"/>
      <c r="R59" s="185"/>
      <c r="S59" s="185"/>
      <c r="T59" s="185"/>
      <c r="U59" s="185"/>
    </row>
    <row r="60" spans="1:21" ht="15.75" customHeight="1">
      <c r="A60" s="185"/>
      <c r="B60" s="795" t="s">
        <v>528</v>
      </c>
      <c r="C60" s="796" t="s">
        <v>527</v>
      </c>
      <c r="D60" s="797"/>
      <c r="E60" s="798"/>
      <c r="F60" s="798"/>
      <c r="G60" s="941" t="str">
        <f>G7</f>
        <v>Estimated</v>
      </c>
      <c r="H60" s="945" t="s">
        <v>396</v>
      </c>
      <c r="I60" s="800" t="str">
        <f>I7</f>
        <v>3 Year</v>
      </c>
      <c r="J60" s="805" t="str">
        <f>G60</f>
        <v>Estimated</v>
      </c>
      <c r="K60" s="866" t="s">
        <v>396</v>
      </c>
      <c r="L60" s="185"/>
      <c r="M60" s="185"/>
      <c r="N60" s="185"/>
      <c r="O60" s="185"/>
      <c r="P60" s="185"/>
      <c r="Q60" s="185"/>
      <c r="R60" s="185"/>
      <c r="S60" s="185"/>
      <c r="T60" s="185"/>
      <c r="U60" s="185"/>
    </row>
    <row r="61" spans="1:21" ht="15.75" customHeight="1">
      <c r="A61" s="185"/>
      <c r="B61" s="806" t="s">
        <v>529</v>
      </c>
      <c r="C61" s="789" t="s">
        <v>398</v>
      </c>
      <c r="D61" s="790">
        <f>D8</f>
        <v>2011</v>
      </c>
      <c r="E61" s="790">
        <f>E8</f>
        <v>2012</v>
      </c>
      <c r="F61" s="791">
        <f>F8</f>
        <v>2013</v>
      </c>
      <c r="G61" s="788">
        <f>G8</f>
        <v>2014</v>
      </c>
      <c r="H61" s="789">
        <f>H8</f>
        <v>2015</v>
      </c>
      <c r="I61" s="790" t="s">
        <v>256</v>
      </c>
      <c r="J61" s="959">
        <f>J8</f>
        <v>2014</v>
      </c>
      <c r="K61" s="867">
        <f>K8</f>
        <v>2015</v>
      </c>
      <c r="L61" s="185"/>
      <c r="M61" s="185"/>
      <c r="N61" s="185"/>
      <c r="O61" s="185"/>
      <c r="P61" s="185"/>
      <c r="Q61" s="185"/>
      <c r="R61" s="185"/>
      <c r="S61" s="185"/>
      <c r="T61" s="185"/>
      <c r="U61" s="185"/>
    </row>
    <row r="62" spans="1:21" ht="15.75" customHeight="1">
      <c r="A62" s="185"/>
      <c r="B62" s="807"/>
      <c r="C62" s="780"/>
      <c r="D62" s="862"/>
      <c r="E62" s="782"/>
      <c r="F62" s="782"/>
      <c r="G62" s="737"/>
      <c r="H62" s="737"/>
      <c r="I62" s="782"/>
      <c r="J62" s="868"/>
      <c r="K62" s="869"/>
      <c r="L62" s="185"/>
      <c r="M62" s="185"/>
      <c r="N62" s="185"/>
      <c r="O62" s="185"/>
      <c r="P62" s="185"/>
      <c r="Q62" s="185"/>
      <c r="R62" s="185"/>
      <c r="S62" s="185"/>
      <c r="T62" s="185"/>
      <c r="U62" s="185"/>
    </row>
    <row r="63" spans="1:21" ht="15.75" customHeight="1">
      <c r="A63" s="185"/>
      <c r="B63" s="795">
        <v>660</v>
      </c>
      <c r="C63" s="673" t="s">
        <v>886</v>
      </c>
      <c r="D63" s="920">
        <f>Data!B53</f>
        <v>219530</v>
      </c>
      <c r="E63" s="920">
        <f>Data!C53</f>
        <v>237542</v>
      </c>
      <c r="F63" s="920">
        <f>Data!D53</f>
        <v>234384</v>
      </c>
      <c r="G63" s="676">
        <f>AVERAGE(D63:F63)*1.02</f>
        <v>235095.04000000001</v>
      </c>
      <c r="H63" s="1235">
        <f t="shared" ref="H63:H76" si="13">G63*1.02</f>
        <v>239796.94080000001</v>
      </c>
      <c r="I63" s="920">
        <f>IF(Data!$H$5="Actual", SUM(D63+E63+F63+G63)/4, SUM(D63+E63+F63)/3)</f>
        <v>230485.33333333334</v>
      </c>
      <c r="J63" s="928" t="str">
        <f>IF(I63&lt;&gt;0,IF((G63-I63)/I63&gt;0.15,"Explain",IF((G63-I63)/I63&lt;-0.15,"Explain","")),"")</f>
        <v/>
      </c>
      <c r="K63" s="960" t="str">
        <f t="shared" ref="K63:K77" si="14">IF(I63&lt;&gt;0,IF((H63-I63)/I63&gt;0.15,"Explain",IF((H63-I63)/I63&lt; -0.15,"Explain","")),"")</f>
        <v/>
      </c>
      <c r="L63" s="185"/>
      <c r="M63" s="185"/>
      <c r="N63" s="185"/>
      <c r="O63" s="185"/>
      <c r="P63" s="185"/>
      <c r="Q63" s="185"/>
      <c r="R63" s="185"/>
      <c r="S63" s="185"/>
      <c r="T63" s="185"/>
      <c r="U63" s="185"/>
    </row>
    <row r="64" spans="1:21" ht="15.75" customHeight="1">
      <c r="A64" s="185"/>
      <c r="B64" s="795">
        <v>661</v>
      </c>
      <c r="C64" s="933" t="s">
        <v>895</v>
      </c>
      <c r="D64" s="674">
        <f>Data!B54</f>
        <v>81690</v>
      </c>
      <c r="E64" s="674">
        <f>Data!C54</f>
        <v>87445</v>
      </c>
      <c r="F64" s="674">
        <f>Data!D54</f>
        <v>90347</v>
      </c>
      <c r="G64" s="676">
        <f t="shared" ref="G64:G76" si="15">AVERAGE(D64:F64)*1.02</f>
        <v>88223.88</v>
      </c>
      <c r="H64" s="1235">
        <f t="shared" si="13"/>
        <v>89988.357600000003</v>
      </c>
      <c r="I64" s="674">
        <f>IF(Data!$H$5="Actual", SUM(D64+E64+F64+G64)/4, SUM(D64+E64+F64)/3)</f>
        <v>86494</v>
      </c>
      <c r="J64" s="928" t="str">
        <f>IF(I64&lt;&gt;0,IF((G64-I64)/I65&gt;0.15,"Explain",IF((G64-I64)/I64&lt;-0.15,"Explain","")),"")</f>
        <v/>
      </c>
      <c r="K64" s="960" t="str">
        <f t="shared" si="14"/>
        <v/>
      </c>
      <c r="L64" s="185"/>
      <c r="M64" s="185"/>
      <c r="N64" s="185"/>
      <c r="O64" s="185"/>
      <c r="P64" s="185"/>
      <c r="Q64" s="185"/>
      <c r="R64" s="185"/>
      <c r="S64" s="185"/>
      <c r="T64" s="185"/>
      <c r="U64" s="185"/>
    </row>
    <row r="65" spans="1:21" ht="15.75" customHeight="1">
      <c r="A65" s="185"/>
      <c r="B65" s="795">
        <v>662</v>
      </c>
      <c r="C65" s="933" t="s">
        <v>896</v>
      </c>
      <c r="D65" s="674">
        <f>Data!B55</f>
        <v>376706</v>
      </c>
      <c r="E65" s="674">
        <f>Data!C55</f>
        <v>295263</v>
      </c>
      <c r="F65" s="674">
        <f>Data!D55</f>
        <v>363697</v>
      </c>
      <c r="G65" s="676">
        <f t="shared" si="15"/>
        <v>352126.44</v>
      </c>
      <c r="H65" s="1235">
        <f t="shared" si="13"/>
        <v>359168.96880000003</v>
      </c>
      <c r="I65" s="674">
        <f>IF(Data!$H$5="Actual", SUM(D65+E65+F65+G65)/4, SUM(D65+E65+F65)/3)</f>
        <v>345222</v>
      </c>
      <c r="J65" s="928" t="str">
        <f t="shared" ref="J65:J77" si="16">IF(I65&lt;&gt;0,IF((G65-I65)/I65&gt;0.15,"Explain",IF((G65-I65)/I65&lt;-0.15,"Explain","")),"")</f>
        <v/>
      </c>
      <c r="K65" s="960" t="str">
        <f t="shared" si="14"/>
        <v/>
      </c>
      <c r="L65" s="185"/>
      <c r="M65" s="185"/>
      <c r="N65" s="185"/>
      <c r="O65" s="185"/>
      <c r="P65" s="185"/>
      <c r="Q65" s="185"/>
      <c r="R65" s="185"/>
      <c r="S65" s="185"/>
      <c r="T65" s="185"/>
      <c r="U65" s="185"/>
    </row>
    <row r="66" spans="1:21" ht="15.75" customHeight="1">
      <c r="A66" s="185"/>
      <c r="B66" s="795">
        <v>663</v>
      </c>
      <c r="C66" s="933" t="s">
        <v>897</v>
      </c>
      <c r="D66" s="674">
        <f>Data!B56</f>
        <v>62900</v>
      </c>
      <c r="E66" s="674">
        <f>Data!C56</f>
        <v>85525</v>
      </c>
      <c r="F66" s="674">
        <f>Data!D56</f>
        <v>59520</v>
      </c>
      <c r="G66" s="676">
        <f t="shared" si="15"/>
        <v>70701.3</v>
      </c>
      <c r="H66" s="1235">
        <f t="shared" si="13"/>
        <v>72115.326000000001</v>
      </c>
      <c r="I66" s="674">
        <f>IF(Data!$H$5="Actual", SUM(D66+E66+F66+G66)/4, SUM(D66+E66+F66)/3)</f>
        <v>69315</v>
      </c>
      <c r="J66" s="928" t="str">
        <f t="shared" si="16"/>
        <v/>
      </c>
      <c r="K66" s="960" t="str">
        <f t="shared" si="14"/>
        <v/>
      </c>
      <c r="L66" s="185"/>
      <c r="M66" s="185"/>
      <c r="N66" s="185"/>
      <c r="O66" s="185"/>
      <c r="P66" s="185"/>
      <c r="Q66" s="185"/>
      <c r="R66" s="185"/>
      <c r="S66" s="185"/>
      <c r="T66" s="185"/>
      <c r="U66" s="185"/>
    </row>
    <row r="67" spans="1:21" ht="15.75" customHeight="1">
      <c r="A67" s="185"/>
      <c r="B67" s="795">
        <v>664</v>
      </c>
      <c r="C67" s="933" t="s">
        <v>898</v>
      </c>
      <c r="D67" s="674">
        <f>Data!B57</f>
        <v>243586</v>
      </c>
      <c r="E67" s="674">
        <f>Data!C57</f>
        <v>265757</v>
      </c>
      <c r="F67" s="674">
        <f>Data!D57</f>
        <v>274957</v>
      </c>
      <c r="G67" s="676">
        <f t="shared" si="15"/>
        <v>266662</v>
      </c>
      <c r="H67" s="1235">
        <f t="shared" si="13"/>
        <v>271995.24</v>
      </c>
      <c r="I67" s="674">
        <f>IF(Data!$H$5="Actual", SUM(D67+E67+F67+G67)/4, SUM(D67+E67+F67)/3)</f>
        <v>261433.33333333334</v>
      </c>
      <c r="J67" s="928" t="str">
        <f t="shared" si="16"/>
        <v/>
      </c>
      <c r="K67" s="960" t="str">
        <f t="shared" si="14"/>
        <v/>
      </c>
      <c r="L67" s="185"/>
      <c r="M67" s="185"/>
      <c r="N67" s="185"/>
      <c r="O67" s="185"/>
      <c r="P67" s="185"/>
      <c r="Q67" s="185"/>
      <c r="R67" s="185"/>
      <c r="S67" s="185"/>
      <c r="T67" s="185"/>
      <c r="U67" s="185"/>
    </row>
    <row r="68" spans="1:21" ht="15.75" customHeight="1">
      <c r="A68" s="185"/>
      <c r="B68" s="795">
        <v>665</v>
      </c>
      <c r="C68" s="781" t="s">
        <v>877</v>
      </c>
      <c r="D68" s="674">
        <f>Data!B58</f>
        <v>625895</v>
      </c>
      <c r="E68" s="674">
        <f>Data!C58</f>
        <v>725110</v>
      </c>
      <c r="F68" s="674">
        <f>Data!D58</f>
        <v>672744</v>
      </c>
      <c r="G68" s="676">
        <f t="shared" si="15"/>
        <v>688074.66</v>
      </c>
      <c r="H68" s="1235">
        <f t="shared" si="13"/>
        <v>701836.15320000006</v>
      </c>
      <c r="I68" s="674">
        <f>IF(Data!$H$5="Actual", SUM(D68+E68+F68+G68)/4, SUM(D68+E68+F68)/3)</f>
        <v>674583</v>
      </c>
      <c r="J68" s="928" t="str">
        <f t="shared" si="16"/>
        <v/>
      </c>
      <c r="K68" s="960" t="str">
        <f t="shared" si="14"/>
        <v/>
      </c>
      <c r="L68" s="185"/>
      <c r="M68" s="185"/>
      <c r="N68" s="185"/>
      <c r="O68" s="185"/>
      <c r="P68" s="185"/>
      <c r="Q68" s="185"/>
      <c r="R68" s="185"/>
      <c r="S68" s="185"/>
      <c r="T68" s="185"/>
      <c r="U68" s="185"/>
    </row>
    <row r="69" spans="1:21" ht="15.75" customHeight="1">
      <c r="A69" s="185"/>
      <c r="B69" s="795">
        <v>666</v>
      </c>
      <c r="C69" s="933" t="s">
        <v>878</v>
      </c>
      <c r="D69" s="674">
        <f>Data!B59</f>
        <v>0</v>
      </c>
      <c r="E69" s="674">
        <f>Data!C59</f>
        <v>0</v>
      </c>
      <c r="F69" s="674">
        <f>Data!D59</f>
        <v>0</v>
      </c>
      <c r="G69" s="676">
        <f t="shared" si="15"/>
        <v>0</v>
      </c>
      <c r="H69" s="1235">
        <f t="shared" si="13"/>
        <v>0</v>
      </c>
      <c r="I69" s="674">
        <f>IF(Data!$H$5="Actual", SUM(D69+E69+F69+G69)/4, SUM(D69+E69+F69)/3)</f>
        <v>0</v>
      </c>
      <c r="J69" s="928" t="str">
        <f t="shared" si="16"/>
        <v/>
      </c>
      <c r="K69" s="960" t="str">
        <f t="shared" si="14"/>
        <v/>
      </c>
      <c r="L69" s="185"/>
      <c r="M69" s="185"/>
      <c r="N69" s="185"/>
      <c r="O69" s="185"/>
      <c r="P69" s="185"/>
      <c r="Q69" s="185"/>
      <c r="R69" s="185"/>
      <c r="S69" s="185"/>
      <c r="T69" s="185"/>
      <c r="U69" s="185"/>
    </row>
    <row r="70" spans="1:21" ht="15.75" customHeight="1">
      <c r="A70" s="185"/>
      <c r="B70" s="795">
        <v>670</v>
      </c>
      <c r="C70" s="673" t="s">
        <v>879</v>
      </c>
      <c r="D70" s="674">
        <f>Data!B60</f>
        <v>0</v>
      </c>
      <c r="E70" s="674">
        <f>Data!C60</f>
        <v>0</v>
      </c>
      <c r="F70" s="674">
        <f>Data!D60</f>
        <v>0</v>
      </c>
      <c r="G70" s="676">
        <f t="shared" si="15"/>
        <v>0</v>
      </c>
      <c r="H70" s="1235">
        <f t="shared" si="13"/>
        <v>0</v>
      </c>
      <c r="I70" s="674">
        <f>IF(Data!$H$5="Actual", SUM(D70+E70+F70+G70)/4, SUM(D70+E70+F70)/3)</f>
        <v>0</v>
      </c>
      <c r="J70" s="928" t="str">
        <f t="shared" si="16"/>
        <v/>
      </c>
      <c r="K70" s="960" t="str">
        <f t="shared" si="14"/>
        <v/>
      </c>
      <c r="L70" s="185"/>
      <c r="M70" s="185"/>
      <c r="N70" s="185"/>
      <c r="O70" s="185"/>
      <c r="P70" s="185"/>
      <c r="Q70" s="185"/>
      <c r="R70" s="185"/>
      <c r="S70" s="185"/>
      <c r="T70" s="185"/>
      <c r="U70" s="185"/>
    </row>
    <row r="71" spans="1:21" ht="15.75" customHeight="1">
      <c r="A71" s="185"/>
      <c r="B71" s="795">
        <v>671</v>
      </c>
      <c r="C71" s="781" t="s">
        <v>880</v>
      </c>
      <c r="D71" s="674">
        <f>Data!B61</f>
        <v>0</v>
      </c>
      <c r="E71" s="674">
        <f>Data!C61</f>
        <v>0</v>
      </c>
      <c r="F71" s="674">
        <f>Data!D61</f>
        <v>0</v>
      </c>
      <c r="G71" s="676">
        <f t="shared" si="15"/>
        <v>0</v>
      </c>
      <c r="H71" s="1235">
        <f t="shared" si="13"/>
        <v>0</v>
      </c>
      <c r="I71" s="674">
        <f>IF(Data!$H$5="Actual", SUM(D71+E71+F71+G71)/4, SUM(D71+E71+F71)/3)</f>
        <v>0</v>
      </c>
      <c r="J71" s="928" t="str">
        <f t="shared" si="16"/>
        <v/>
      </c>
      <c r="K71" s="960" t="str">
        <f t="shared" si="14"/>
        <v/>
      </c>
      <c r="L71" s="185"/>
      <c r="M71" s="185"/>
      <c r="N71" s="185"/>
      <c r="O71" s="185"/>
      <c r="P71" s="185"/>
      <c r="Q71" s="185"/>
      <c r="R71" s="185"/>
      <c r="S71" s="185"/>
      <c r="T71" s="185"/>
      <c r="U71" s="185"/>
    </row>
    <row r="72" spans="1:21" ht="15.75" customHeight="1">
      <c r="A72" s="185"/>
      <c r="B72" s="795">
        <v>672</v>
      </c>
      <c r="C72" s="781" t="s">
        <v>899</v>
      </c>
      <c r="D72" s="674">
        <f>Data!B62</f>
        <v>7700</v>
      </c>
      <c r="E72" s="674">
        <f>Data!C62</f>
        <v>13164</v>
      </c>
      <c r="F72" s="674">
        <f>Data!D62</f>
        <v>13430</v>
      </c>
      <c r="G72" s="676">
        <f t="shared" si="15"/>
        <v>11659.960000000001</v>
      </c>
      <c r="H72" s="1843">
        <v>52891</v>
      </c>
      <c r="I72" s="674">
        <f>IF(Data!$H$5="Actual", SUM(D72+E72+F72+G72)/4, SUM(D72+E72+F72)/3)</f>
        <v>11431.333333333334</v>
      </c>
      <c r="J72" s="928" t="str">
        <f t="shared" si="16"/>
        <v/>
      </c>
      <c r="K72" s="960" t="str">
        <f t="shared" si="14"/>
        <v>Explain</v>
      </c>
      <c r="L72" s="185"/>
      <c r="M72" s="185"/>
      <c r="N72" s="185"/>
      <c r="O72" s="185"/>
      <c r="P72" s="185"/>
      <c r="Q72" s="185"/>
      <c r="R72" s="185"/>
      <c r="S72" s="185"/>
      <c r="T72" s="185"/>
      <c r="U72" s="185"/>
    </row>
    <row r="73" spans="1:21" ht="15.75" customHeight="1">
      <c r="A73" s="185"/>
      <c r="B73" s="795">
        <v>673</v>
      </c>
      <c r="C73" s="933" t="s">
        <v>900</v>
      </c>
      <c r="D73" s="674">
        <f>Data!B63</f>
        <v>2231213</v>
      </c>
      <c r="E73" s="674">
        <f>Data!C63</f>
        <v>1694048</v>
      </c>
      <c r="F73" s="674">
        <f>Data!D63</f>
        <v>1949074</v>
      </c>
      <c r="G73" s="676">
        <f t="shared" si="15"/>
        <v>1997273.9000000001</v>
      </c>
      <c r="H73" s="1235">
        <f t="shared" si="13"/>
        <v>2037219.3780000003</v>
      </c>
      <c r="I73" s="674">
        <f>IF(Data!$H$5="Actual", SUM(D73+E73+F73+G73)/4, SUM(D73+E73+F73)/3)</f>
        <v>1958111.6666666667</v>
      </c>
      <c r="J73" s="928" t="str">
        <f t="shared" si="16"/>
        <v/>
      </c>
      <c r="K73" s="960" t="str">
        <f t="shared" si="14"/>
        <v/>
      </c>
      <c r="L73" s="185"/>
      <c r="M73" s="185"/>
      <c r="N73" s="185"/>
      <c r="O73" s="185"/>
      <c r="P73" s="185"/>
      <c r="Q73" s="185"/>
      <c r="R73" s="185"/>
      <c r="S73" s="185"/>
      <c r="T73" s="185"/>
      <c r="U73" s="185"/>
    </row>
    <row r="74" spans="1:21" ht="15.75" customHeight="1">
      <c r="A74" s="185"/>
      <c r="B74" s="795">
        <v>675</v>
      </c>
      <c r="C74" s="933" t="s">
        <v>547</v>
      </c>
      <c r="D74" s="674">
        <f>Data!B64</f>
        <v>1403056</v>
      </c>
      <c r="E74" s="674">
        <f>Data!C64</f>
        <v>1291440</v>
      </c>
      <c r="F74" s="674">
        <f>Data!D64</f>
        <v>1576188</v>
      </c>
      <c r="G74" s="676">
        <f t="shared" si="15"/>
        <v>1452032.56</v>
      </c>
      <c r="H74" s="1235">
        <f t="shared" si="13"/>
        <v>1481073.2112</v>
      </c>
      <c r="I74" s="674">
        <f>IF(Data!$H$5="Actual", SUM(D74+E74+F74+G74)/4, SUM(D74+E74+F74)/3)</f>
        <v>1423561.3333333333</v>
      </c>
      <c r="J74" s="928" t="str">
        <f t="shared" si="16"/>
        <v/>
      </c>
      <c r="K74" s="960" t="str">
        <f t="shared" si="14"/>
        <v/>
      </c>
      <c r="L74" s="185"/>
      <c r="M74" s="185"/>
      <c r="N74" s="185"/>
      <c r="O74" s="185"/>
      <c r="P74" s="185"/>
      <c r="Q74" s="185"/>
      <c r="R74" s="185"/>
      <c r="S74" s="185"/>
      <c r="T74" s="185"/>
      <c r="U74" s="185"/>
    </row>
    <row r="75" spans="1:21" ht="15.75" customHeight="1">
      <c r="A75" s="185"/>
      <c r="B75" s="795">
        <v>676</v>
      </c>
      <c r="C75" s="933" t="s">
        <v>548</v>
      </c>
      <c r="D75" s="674">
        <f>Data!B65</f>
        <v>158781</v>
      </c>
      <c r="E75" s="674">
        <f>Data!C65</f>
        <v>92592</v>
      </c>
      <c r="F75" s="674">
        <f>Data!D65</f>
        <v>36787</v>
      </c>
      <c r="G75" s="676">
        <f t="shared" si="15"/>
        <v>97974.399999999994</v>
      </c>
      <c r="H75" s="1235">
        <f t="shared" si="13"/>
        <v>99933.887999999992</v>
      </c>
      <c r="I75" s="674">
        <f>IF(Data!$H$5="Actual", SUM(D75+E75+F75+G75)/4, SUM(D75+E75+F75)/3)</f>
        <v>96053.333333333328</v>
      </c>
      <c r="J75" s="928" t="str">
        <f t="shared" si="16"/>
        <v/>
      </c>
      <c r="K75" s="960" t="str">
        <f t="shared" si="14"/>
        <v/>
      </c>
      <c r="L75" s="185"/>
      <c r="M75" s="185"/>
      <c r="N75" s="185"/>
      <c r="O75" s="185"/>
      <c r="P75" s="185"/>
      <c r="Q75" s="185"/>
      <c r="R75" s="185"/>
      <c r="S75" s="185"/>
      <c r="T75" s="185"/>
      <c r="U75" s="185"/>
    </row>
    <row r="76" spans="1:21" ht="15.75" customHeight="1">
      <c r="A76" s="185"/>
      <c r="B76" s="795">
        <v>677</v>
      </c>
      <c r="C76" s="933" t="s">
        <v>549</v>
      </c>
      <c r="D76" s="674">
        <f>Data!B66</f>
        <v>343002</v>
      </c>
      <c r="E76" s="674">
        <f>Data!C66</f>
        <v>360634</v>
      </c>
      <c r="F76" s="674">
        <f>Data!D66</f>
        <v>330510</v>
      </c>
      <c r="G76" s="676">
        <f t="shared" si="15"/>
        <v>351609.64</v>
      </c>
      <c r="H76" s="1235">
        <f t="shared" si="13"/>
        <v>358641.83280000003</v>
      </c>
      <c r="I76" s="674">
        <f>IF(Data!$H$5="Actual", SUM(D76+E76+F76+G76)/4, SUM(D76+E76+F76)/3)</f>
        <v>344715.33333333331</v>
      </c>
      <c r="J76" s="928" t="str">
        <f t="shared" si="16"/>
        <v/>
      </c>
      <c r="K76" s="960" t="str">
        <f t="shared" si="14"/>
        <v/>
      </c>
      <c r="L76" s="185"/>
      <c r="M76" s="185"/>
      <c r="N76" s="185"/>
      <c r="O76" s="185"/>
      <c r="P76" s="185"/>
      <c r="Q76" s="185"/>
      <c r="R76" s="185"/>
      <c r="S76" s="185"/>
      <c r="T76" s="185"/>
      <c r="U76" s="185"/>
    </row>
    <row r="77" spans="1:21" ht="15.75" customHeight="1">
      <c r="A77" s="185"/>
      <c r="B77" s="795">
        <v>678</v>
      </c>
      <c r="C77" s="933" t="s">
        <v>901</v>
      </c>
      <c r="D77" s="674">
        <f>Data!B67</f>
        <v>0</v>
      </c>
      <c r="E77" s="674">
        <f>Data!C67</f>
        <v>0</v>
      </c>
      <c r="F77" s="674">
        <f>Data!D67</f>
        <v>0</v>
      </c>
      <c r="G77" s="922">
        <f>Data!E67</f>
        <v>0</v>
      </c>
      <c r="H77" s="672">
        <v>0</v>
      </c>
      <c r="I77" s="674">
        <f>IF(Data!$H$5="Actual", SUM(D77+E77+F77+G77)/4, SUM(D77+E77+F77)/3)</f>
        <v>0</v>
      </c>
      <c r="J77" s="928" t="str">
        <f t="shared" si="16"/>
        <v/>
      </c>
      <c r="K77" s="960" t="str">
        <f t="shared" si="14"/>
        <v/>
      </c>
      <c r="L77" s="185"/>
      <c r="M77" s="185"/>
      <c r="N77" s="185"/>
      <c r="O77" s="185"/>
      <c r="P77" s="185"/>
      <c r="Q77" s="185"/>
      <c r="R77" s="185"/>
      <c r="S77" s="185"/>
      <c r="T77" s="185"/>
      <c r="U77" s="185"/>
    </row>
    <row r="78" spans="1:21" s="106" customFormat="1" ht="15.75" customHeight="1">
      <c r="A78" s="303"/>
      <c r="B78" s="795"/>
      <c r="C78" s="933"/>
      <c r="D78" s="863"/>
      <c r="E78" s="863"/>
      <c r="F78" s="863"/>
      <c r="G78" s="855"/>
      <c r="H78" s="855"/>
      <c r="I78" s="863"/>
      <c r="J78" s="961"/>
      <c r="K78" s="962"/>
      <c r="L78" s="303"/>
      <c r="M78" s="303"/>
      <c r="N78" s="303"/>
      <c r="O78" s="303"/>
      <c r="P78" s="303"/>
      <c r="Q78" s="303"/>
      <c r="R78" s="303"/>
      <c r="S78" s="303"/>
      <c r="T78" s="303"/>
      <c r="U78" s="303"/>
    </row>
    <row r="79" spans="1:21" ht="15.75" customHeight="1">
      <c r="A79" s="185"/>
      <c r="B79" s="795"/>
      <c r="C79" s="785" t="s">
        <v>902</v>
      </c>
      <c r="D79" s="857">
        <f t="shared" ref="D79:I79" si="17">SUM(D63:D77)</f>
        <v>5754059</v>
      </c>
      <c r="E79" s="857">
        <f t="shared" si="17"/>
        <v>5148520</v>
      </c>
      <c r="F79" s="857">
        <f t="shared" si="17"/>
        <v>5601638</v>
      </c>
      <c r="G79" s="857">
        <f t="shared" si="17"/>
        <v>5611433.7800000003</v>
      </c>
      <c r="H79" s="857">
        <f t="shared" si="17"/>
        <v>5764660.2964000003</v>
      </c>
      <c r="I79" s="857">
        <f t="shared" si="17"/>
        <v>5501405.666666666</v>
      </c>
      <c r="J79" s="961"/>
      <c r="K79" s="962"/>
      <c r="L79" s="185"/>
      <c r="M79" s="185"/>
      <c r="N79" s="185"/>
      <c r="O79" s="185"/>
      <c r="P79" s="185"/>
      <c r="Q79" s="185"/>
      <c r="R79" s="185"/>
      <c r="S79" s="185"/>
      <c r="T79" s="185"/>
      <c r="U79" s="185"/>
    </row>
    <row r="80" spans="1:21" ht="15.75" customHeight="1">
      <c r="A80" s="185"/>
      <c r="B80" s="795"/>
      <c r="C80" s="850"/>
      <c r="D80" s="854"/>
      <c r="E80" s="854"/>
      <c r="F80" s="854"/>
      <c r="G80" s="853"/>
      <c r="H80" s="853"/>
      <c r="I80" s="854"/>
      <c r="J80" s="961"/>
      <c r="K80" s="962"/>
      <c r="L80" s="185"/>
      <c r="M80" s="185"/>
      <c r="N80" s="185"/>
      <c r="O80" s="185"/>
      <c r="P80" s="185"/>
      <c r="Q80" s="185"/>
      <c r="R80" s="185"/>
      <c r="S80" s="185"/>
      <c r="T80" s="185"/>
      <c r="U80" s="185"/>
    </row>
    <row r="81" spans="1:21" ht="15.75" customHeight="1">
      <c r="A81" s="185"/>
      <c r="B81" s="795">
        <v>901</v>
      </c>
      <c r="C81" s="781" t="s">
        <v>903</v>
      </c>
      <c r="D81" s="920">
        <f>Data!B68</f>
        <v>19283</v>
      </c>
      <c r="E81" s="920">
        <f>Data!C68</f>
        <v>22417</v>
      </c>
      <c r="F81" s="920">
        <f>Data!D68</f>
        <v>26535</v>
      </c>
      <c r="G81" s="676">
        <f>AVERAGE(D81:F81)*1.02</f>
        <v>23199.9</v>
      </c>
      <c r="H81" s="1235">
        <f>G81*1.02</f>
        <v>23663.898000000001</v>
      </c>
      <c r="I81" s="920">
        <f>IF(Data!$H$5="Actual", SUM(D81+E81+F81+G81)/4, SUM(D81+E81+F81)/3)</f>
        <v>22745</v>
      </c>
      <c r="J81" s="928" t="str">
        <f>IF(I81&lt;&gt;0,IF((G81-I81)/I81&gt;0.15,"Explain",IF((G81-I81)/I81&lt;-0.15,"Explain","")),"")</f>
        <v/>
      </c>
      <c r="K81" s="960" t="str">
        <f>IF(I81&lt;&gt;0,IF((H81-I81)/I81&gt;0.15,"Explain",IF((H81-I81)/I81&lt; -0.15,"Explain","")),"")</f>
        <v/>
      </c>
      <c r="L81" s="185"/>
      <c r="M81" s="185"/>
      <c r="N81" s="185"/>
      <c r="O81" s="185"/>
      <c r="P81" s="185"/>
      <c r="Q81" s="185"/>
      <c r="R81" s="185"/>
      <c r="S81" s="185"/>
      <c r="T81" s="185"/>
      <c r="U81" s="185"/>
    </row>
    <row r="82" spans="1:21" ht="15.75" customHeight="1">
      <c r="A82" s="185"/>
      <c r="B82" s="795">
        <v>902</v>
      </c>
      <c r="C82" s="781" t="s">
        <v>553</v>
      </c>
      <c r="D82" s="854">
        <f>Data!B69</f>
        <v>80676</v>
      </c>
      <c r="E82" s="854">
        <f>Data!C69</f>
        <v>109438</v>
      </c>
      <c r="F82" s="854">
        <f>Data!D69</f>
        <v>89744</v>
      </c>
      <c r="G82" s="676">
        <v>90000</v>
      </c>
      <c r="H82" s="1235">
        <f>G82*1.02</f>
        <v>91800</v>
      </c>
      <c r="I82" s="674">
        <f>IF(Data!$H$5="Actual", SUM(D82+E82+F82+G82)/4, SUM(D82+E82+F82)/3)</f>
        <v>93286</v>
      </c>
      <c r="J82" s="928" t="str">
        <f>IF(I82&lt;&gt;0,IF((G82-I82)/I82&gt;0.15,"Explain",IF((G82-I82)/I82&lt;-0.15,"Explain","")),"")</f>
        <v/>
      </c>
      <c r="K82" s="960" t="str">
        <f>IF(I82&lt;&gt;0,IF((H82-I82)/I82&gt;0.15,"Explain",IF((H82-I82)/I82&lt; -0.15,"Explain","")),"")</f>
        <v/>
      </c>
      <c r="L82" s="185"/>
      <c r="M82" s="185"/>
      <c r="N82" s="185"/>
      <c r="O82" s="185"/>
      <c r="P82" s="185"/>
      <c r="Q82" s="185"/>
      <c r="R82" s="185"/>
      <c r="S82" s="185"/>
      <c r="T82" s="185"/>
      <c r="U82" s="185"/>
    </row>
    <row r="83" spans="1:21" ht="15.75" customHeight="1">
      <c r="A83" s="185"/>
      <c r="B83" s="795">
        <v>903</v>
      </c>
      <c r="C83" s="781" t="s">
        <v>904</v>
      </c>
      <c r="D83" s="854">
        <f>Data!B70</f>
        <v>226178</v>
      </c>
      <c r="E83" s="854">
        <f>Data!C70</f>
        <v>266010</v>
      </c>
      <c r="F83" s="854">
        <f>Data!D70</f>
        <v>293055</v>
      </c>
      <c r="G83" s="676">
        <f>AVERAGE(D83:F83)*1.02</f>
        <v>266982.62</v>
      </c>
      <c r="H83" s="1235">
        <f>G83*1.02</f>
        <v>272322.27240000002</v>
      </c>
      <c r="I83" s="674">
        <f>IF(Data!$H$5="Actual", SUM(D83+E83+F83+G83)/4, SUM(D83+E83+F83)/3)</f>
        <v>261747.66666666666</v>
      </c>
      <c r="J83" s="928" t="str">
        <f>IF(I83&lt;&gt;0,IF((G83-I83)/I83&gt;0.15,"Explain",IF((G83-I83)/I83&lt;-0.15,"Explain","")),"")</f>
        <v/>
      </c>
      <c r="K83" s="960" t="str">
        <f>IF(I83&lt;&gt;0,IF((H83-I83)/I83&gt;0.15,"Explain",IF((H83-I83)/I83&lt; -0.15,"Explain","")),"")</f>
        <v/>
      </c>
      <c r="L83" s="185"/>
      <c r="M83" s="185"/>
      <c r="N83" s="185"/>
      <c r="O83" s="185"/>
      <c r="P83" s="185"/>
      <c r="Q83" s="185"/>
      <c r="R83" s="185"/>
      <c r="S83" s="185"/>
      <c r="T83" s="185"/>
      <c r="U83" s="185"/>
    </row>
    <row r="84" spans="1:21" ht="15.75" customHeight="1">
      <c r="A84" s="185"/>
      <c r="B84" s="795">
        <v>904</v>
      </c>
      <c r="C84" s="781" t="s">
        <v>556</v>
      </c>
      <c r="D84" s="854">
        <f>Data!B71</f>
        <v>0</v>
      </c>
      <c r="E84" s="854">
        <f>Data!C71</f>
        <v>0</v>
      </c>
      <c r="F84" s="854">
        <f>Data!D71</f>
        <v>0</v>
      </c>
      <c r="G84" s="853">
        <f>Data!E71</f>
        <v>0</v>
      </c>
      <c r="H84" s="870">
        <v>0</v>
      </c>
      <c r="I84" s="674">
        <f>IF(Data!$H$5="Actual", SUM(D84+E84+F84+G84)/4, SUM(D84+E84+F84)/3)</f>
        <v>0</v>
      </c>
      <c r="J84" s="928" t="str">
        <f>IF(I84&lt;&gt;0,IF((G84-I84)/I84&gt;0.15,"Explain",IF((G84-I84)/I84&lt;-0.15,"Explain","")),"")</f>
        <v/>
      </c>
      <c r="K84" s="960" t="str">
        <f>IF(I84&lt;&gt;0,IF((H84-I84)/I84&gt;0.15,"Explain",IF((H84-I84)/I84&lt; -0.15,"Explain","")),"")</f>
        <v/>
      </c>
      <c r="L84" s="185"/>
      <c r="M84" s="185"/>
      <c r="N84" s="185"/>
      <c r="O84" s="185"/>
      <c r="P84" s="185"/>
      <c r="Q84" s="185"/>
      <c r="R84" s="185"/>
      <c r="S84" s="185"/>
      <c r="T84" s="185"/>
      <c r="U84" s="185"/>
    </row>
    <row r="85" spans="1:21" ht="15.75" customHeight="1">
      <c r="A85" s="185"/>
      <c r="B85" s="795">
        <v>905</v>
      </c>
      <c r="C85" s="781" t="s">
        <v>905</v>
      </c>
      <c r="D85" s="854">
        <f>Data!B72</f>
        <v>0</v>
      </c>
      <c r="E85" s="854">
        <f>Data!C72</f>
        <v>0</v>
      </c>
      <c r="F85" s="854">
        <f>Data!D72</f>
        <v>0</v>
      </c>
      <c r="G85" s="853">
        <f>Data!E72</f>
        <v>0</v>
      </c>
      <c r="H85" s="870">
        <v>0</v>
      </c>
      <c r="I85" s="674">
        <f>IF(Data!$H$5="Actual", SUM(D85+E85+F85+G85)/4, SUM(D85+E85+F85)/3)</f>
        <v>0</v>
      </c>
      <c r="J85" s="928" t="str">
        <f>IF(I85&lt;&gt;0,IF((G85-I85)/I85&gt;0.15,"Explain",IF((G85-I85)/I85&lt;-0.15,"Explain","")),"")</f>
        <v/>
      </c>
      <c r="K85" s="960" t="str">
        <f>IF(I85&lt;&gt;0,IF((H85-I85)/I85&gt;0.15,"Explain",IF((H85-I85)/I85&lt; -0.15,"Explain","")),"")</f>
        <v/>
      </c>
      <c r="L85" s="185"/>
      <c r="M85" s="185"/>
      <c r="N85" s="185"/>
      <c r="O85" s="185"/>
      <c r="P85" s="185"/>
      <c r="Q85" s="185"/>
      <c r="R85" s="185"/>
      <c r="S85" s="185"/>
      <c r="T85" s="185"/>
      <c r="U85" s="185"/>
    </row>
    <row r="86" spans="1:21" ht="15.75" customHeight="1">
      <c r="A86" s="185"/>
      <c r="B86" s="795">
        <v>906</v>
      </c>
      <c r="C86" s="781" t="s">
        <v>906</v>
      </c>
      <c r="D86" s="854">
        <f>Data!B73</f>
        <v>306616</v>
      </c>
      <c r="E86" s="854">
        <f>Data!C73</f>
        <v>220626</v>
      </c>
      <c r="F86" s="854">
        <f>Data!D73</f>
        <v>309325</v>
      </c>
      <c r="G86" s="676">
        <f>AVERAGE(D86:F86)*1.02</f>
        <v>284432.78000000003</v>
      </c>
      <c r="H86" s="1235">
        <f>G86*1.02</f>
        <v>290121.43560000003</v>
      </c>
      <c r="I86" s="674">
        <f>IF(Data!$H$5="Actual", SUM(D86+E86+F86+G86)/4, SUM(D86+E86+F86)/3)</f>
        <v>278855.66666666669</v>
      </c>
      <c r="J86" s="961"/>
      <c r="K86" s="962"/>
      <c r="L86" s="185"/>
      <c r="M86" s="185"/>
      <c r="N86" s="185"/>
      <c r="O86" s="185"/>
      <c r="P86" s="185"/>
      <c r="Q86" s="185"/>
      <c r="R86" s="185"/>
      <c r="S86" s="185"/>
      <c r="T86" s="185"/>
      <c r="U86" s="185"/>
    </row>
    <row r="87" spans="1:21" ht="15.75" customHeight="1">
      <c r="A87" s="185"/>
      <c r="B87" s="795"/>
      <c r="C87" s="781"/>
      <c r="D87" s="863"/>
      <c r="E87" s="863"/>
      <c r="F87" s="863"/>
      <c r="G87" s="856"/>
      <c r="H87" s="856"/>
      <c r="I87" s="863"/>
      <c r="J87" s="961"/>
      <c r="K87" s="962"/>
      <c r="L87" s="185"/>
      <c r="M87" s="185"/>
      <c r="N87" s="185"/>
      <c r="O87" s="185"/>
      <c r="P87" s="185"/>
      <c r="Q87" s="185"/>
      <c r="R87" s="185"/>
      <c r="S87" s="185"/>
      <c r="T87" s="185"/>
      <c r="U87" s="185"/>
    </row>
    <row r="88" spans="1:21" ht="15.75" customHeight="1">
      <c r="A88" s="185"/>
      <c r="B88" s="795"/>
      <c r="C88" s="781" t="s">
        <v>558</v>
      </c>
      <c r="D88" s="934">
        <f t="shared" ref="D88:I88" si="18">SUM(D81:D86)</f>
        <v>632753</v>
      </c>
      <c r="E88" s="934">
        <f t="shared" si="18"/>
        <v>618491</v>
      </c>
      <c r="F88" s="934">
        <f t="shared" si="18"/>
        <v>718659</v>
      </c>
      <c r="G88" s="934">
        <f t="shared" si="18"/>
        <v>664615.30000000005</v>
      </c>
      <c r="H88" s="934">
        <f t="shared" si="18"/>
        <v>677907.60600000003</v>
      </c>
      <c r="I88" s="934">
        <f t="shared" si="18"/>
        <v>656634.33333333326</v>
      </c>
      <c r="J88" s="868"/>
      <c r="K88" s="869"/>
      <c r="L88" s="185"/>
      <c r="M88" s="185"/>
      <c r="N88" s="185"/>
      <c r="O88" s="185"/>
      <c r="P88" s="185"/>
      <c r="Q88" s="185"/>
      <c r="R88" s="185"/>
      <c r="S88" s="185"/>
      <c r="T88" s="185"/>
      <c r="U88" s="185"/>
    </row>
    <row r="89" spans="1:21" ht="15.75" customHeight="1">
      <c r="A89" s="185"/>
      <c r="B89" s="795"/>
      <c r="C89" s="781"/>
      <c r="D89" s="886"/>
      <c r="E89" s="886"/>
      <c r="F89" s="852"/>
      <c r="G89" s="738"/>
      <c r="H89" s="738"/>
      <c r="I89" s="852"/>
      <c r="J89" s="961"/>
      <c r="K89" s="962"/>
      <c r="L89" s="185"/>
      <c r="M89" s="185"/>
      <c r="N89" s="185"/>
      <c r="O89" s="185"/>
      <c r="P89" s="185"/>
      <c r="Q89" s="185"/>
      <c r="R89" s="185"/>
      <c r="S89" s="185"/>
      <c r="T89" s="185"/>
      <c r="U89" s="185"/>
    </row>
    <row r="90" spans="1:21" ht="15.75" customHeight="1">
      <c r="A90" s="185"/>
      <c r="B90" s="795">
        <v>910</v>
      </c>
      <c r="C90" s="781" t="s">
        <v>559</v>
      </c>
      <c r="D90" s="935">
        <f>Data!B74</f>
        <v>0</v>
      </c>
      <c r="E90" s="935">
        <f>Data!C74</f>
        <v>0</v>
      </c>
      <c r="F90" s="935">
        <f>Data!D74</f>
        <v>0</v>
      </c>
      <c r="G90" s="858">
        <f>Data!E74</f>
        <v>0</v>
      </c>
      <c r="H90" s="921">
        <v>0</v>
      </c>
      <c r="I90" s="935">
        <f>IF(Data!$H$5="Actual", SUM(D90+E90+F90+G90)/4, SUM(D90+E90+F90)/3)</f>
        <v>0</v>
      </c>
      <c r="J90" s="928" t="str">
        <f>IF(I90&lt;&gt;0,IF((G90-I90)/I90&gt;0.15,"Explain",IF((G90-I90)/I90&lt;-0.15,"Explain","")),"")</f>
        <v/>
      </c>
      <c r="K90" s="960" t="str">
        <f>IF(G90&lt;&gt;0,IF((H90-G90)/G90&gt;0.15,"Explain",IF((H90-G90)/G90&lt;-0.15,"Explain","")),"")</f>
        <v/>
      </c>
      <c r="L90" s="185"/>
      <c r="M90" s="185"/>
      <c r="N90" s="185"/>
      <c r="O90" s="185"/>
      <c r="P90" s="185"/>
      <c r="Q90" s="185"/>
      <c r="R90" s="185"/>
      <c r="S90" s="185"/>
      <c r="T90" s="185"/>
      <c r="U90" s="185"/>
    </row>
    <row r="91" spans="1:21" ht="15.75" customHeight="1">
      <c r="A91" s="185"/>
      <c r="B91" s="876"/>
      <c r="C91" s="781"/>
      <c r="D91" s="920"/>
      <c r="E91" s="920"/>
      <c r="F91" s="920"/>
      <c r="G91" s="738"/>
      <c r="H91" s="738"/>
      <c r="I91" s="920"/>
      <c r="J91" s="868"/>
      <c r="K91" s="869"/>
      <c r="L91" s="185"/>
      <c r="M91" s="185"/>
      <c r="N91" s="185"/>
      <c r="O91" s="185"/>
      <c r="P91" s="185"/>
      <c r="Q91" s="185"/>
      <c r="R91" s="185"/>
      <c r="S91" s="185"/>
      <c r="T91" s="185"/>
      <c r="U91" s="185"/>
    </row>
    <row r="92" spans="1:21" ht="15.75" customHeight="1">
      <c r="A92" s="185"/>
      <c r="B92" s="877">
        <v>920</v>
      </c>
      <c r="C92" s="781" t="s">
        <v>560</v>
      </c>
      <c r="D92" s="920">
        <f>Data!B75</f>
        <v>629830</v>
      </c>
      <c r="E92" s="920">
        <f>Data!C75</f>
        <v>670868</v>
      </c>
      <c r="F92" s="920">
        <f>Data!D75</f>
        <v>676412</v>
      </c>
      <c r="G92" s="676">
        <f>AVERAGE(D92:F92)*1.02</f>
        <v>672217.4</v>
      </c>
      <c r="H92" s="1235">
        <f t="shared" ref="H92:H103" si="19">G92*1.02</f>
        <v>685661.74800000002</v>
      </c>
      <c r="I92" s="920">
        <f>IF(Data!$H$5="Actual", SUM(D92+E92+F92+G92)/4, SUM(D92+E92+F92)/3)</f>
        <v>659036.66666666663</v>
      </c>
      <c r="J92" s="928" t="str">
        <f t="shared" ref="J92:J103" si="20">IF(I92&lt;&gt;0,IF((G92-I92)/I92&gt;0.15,"Explain",IF((G92-I92)/I92&lt;-0.15,"Explain","")),"")</f>
        <v/>
      </c>
      <c r="K92" s="960" t="str">
        <f t="shared" ref="K92:K103" si="21">IF(I92&lt;&gt;0,IF((H92-I92)/I92&gt;0.15,"Explain",IF((H92-I92)/I92&lt; -0.15,"Explain","")),"")</f>
        <v/>
      </c>
      <c r="L92" s="185"/>
      <c r="M92" s="185"/>
      <c r="N92" s="185"/>
      <c r="O92" s="185"/>
      <c r="P92" s="185"/>
      <c r="Q92" s="185"/>
      <c r="R92" s="185"/>
      <c r="S92" s="185"/>
      <c r="T92" s="185"/>
      <c r="U92" s="185"/>
    </row>
    <row r="93" spans="1:21" ht="15.75" customHeight="1">
      <c r="A93" s="185"/>
      <c r="B93" s="795">
        <v>921</v>
      </c>
      <c r="C93" s="781" t="s">
        <v>561</v>
      </c>
      <c r="D93" s="674">
        <f>Data!B76</f>
        <v>426526</v>
      </c>
      <c r="E93" s="674">
        <f>Data!C76</f>
        <v>384992</v>
      </c>
      <c r="F93" s="674">
        <f>Data!D76</f>
        <v>425274</v>
      </c>
      <c r="G93" s="676">
        <f>AVERAGE(D93:F93)*1.02</f>
        <v>420509.28</v>
      </c>
      <c r="H93" s="1235">
        <f t="shared" si="19"/>
        <v>428919.46560000005</v>
      </c>
      <c r="I93" s="674">
        <f>IF(Data!$H$5="Actual", SUM(E93+F93+G93)/3, SUM(D93+E93+F93)/3)</f>
        <v>412264</v>
      </c>
      <c r="J93" s="928" t="str">
        <f t="shared" si="20"/>
        <v/>
      </c>
      <c r="K93" s="960" t="str">
        <f t="shared" si="21"/>
        <v/>
      </c>
      <c r="L93" s="185"/>
      <c r="M93" s="185"/>
      <c r="N93" s="185"/>
      <c r="O93" s="185"/>
      <c r="P93" s="185"/>
      <c r="Q93" s="185"/>
      <c r="R93" s="185"/>
      <c r="S93" s="185"/>
      <c r="T93" s="185"/>
      <c r="U93" s="185"/>
    </row>
    <row r="94" spans="1:21" ht="15.75" customHeight="1">
      <c r="A94" s="185"/>
      <c r="B94" s="795">
        <v>922</v>
      </c>
      <c r="C94" s="781" t="s">
        <v>562</v>
      </c>
      <c r="D94" s="674">
        <f>Data!B77</f>
        <v>0</v>
      </c>
      <c r="E94" s="674">
        <f>Data!C77</f>
        <v>0</v>
      </c>
      <c r="F94" s="674">
        <f>Data!D77</f>
        <v>0</v>
      </c>
      <c r="G94" s="676">
        <f>AVERAGE(D94:F94)*1.02</f>
        <v>0</v>
      </c>
      <c r="H94" s="1235">
        <f t="shared" si="19"/>
        <v>0</v>
      </c>
      <c r="I94" s="674">
        <f>IF(Data!$H$5="Actual", SUM(E94+F94+G94)/3, SUM(D94+E94+F94)/3)</f>
        <v>0</v>
      </c>
      <c r="J94" s="928" t="str">
        <f t="shared" si="20"/>
        <v/>
      </c>
      <c r="K94" s="960" t="str">
        <f t="shared" si="21"/>
        <v/>
      </c>
      <c r="L94" s="185"/>
      <c r="M94" s="185"/>
      <c r="N94" s="185"/>
      <c r="O94" s="185"/>
      <c r="P94" s="185"/>
      <c r="Q94" s="185"/>
      <c r="R94" s="185"/>
      <c r="S94" s="185"/>
      <c r="T94" s="185"/>
      <c r="U94" s="185"/>
    </row>
    <row r="95" spans="1:21" ht="15.75" customHeight="1">
      <c r="A95" s="185"/>
      <c r="B95" s="795">
        <v>923</v>
      </c>
      <c r="C95" s="781" t="s">
        <v>563</v>
      </c>
      <c r="D95" s="674">
        <f>Data!B78</f>
        <v>102429</v>
      </c>
      <c r="E95" s="674">
        <f>Data!C78</f>
        <v>92788</v>
      </c>
      <c r="F95" s="674">
        <f>Data!D78</f>
        <v>70257</v>
      </c>
      <c r="G95" s="676">
        <f t="shared" ref="G95:G103" si="22">AVERAGE(D95:F95)*1.02</f>
        <v>90261.16</v>
      </c>
      <c r="H95" s="1843">
        <v>244229</v>
      </c>
      <c r="I95" s="674">
        <f>IF(Data!$H$5="Actual", SUM(E95+F95+G95)/3, SUM(D95+E95+F95)/3)</f>
        <v>88491.333333333328</v>
      </c>
      <c r="J95" s="928" t="str">
        <f t="shared" si="20"/>
        <v/>
      </c>
      <c r="K95" s="960" t="str">
        <f t="shared" si="21"/>
        <v>Explain</v>
      </c>
      <c r="L95" s="185"/>
      <c r="M95" s="185"/>
      <c r="N95" s="185"/>
      <c r="O95" s="185"/>
      <c r="P95" s="185"/>
      <c r="Q95" s="185"/>
      <c r="R95" s="185"/>
      <c r="S95" s="185"/>
      <c r="T95" s="185"/>
      <c r="U95" s="185"/>
    </row>
    <row r="96" spans="1:21" ht="15.75" customHeight="1">
      <c r="A96" s="185"/>
      <c r="B96" s="795">
        <v>924</v>
      </c>
      <c r="C96" s="781" t="s">
        <v>564</v>
      </c>
      <c r="D96" s="674">
        <f>Data!B79</f>
        <v>18525</v>
      </c>
      <c r="E96" s="674">
        <f>Data!C79</f>
        <v>19660</v>
      </c>
      <c r="F96" s="674">
        <f>Data!D79</f>
        <v>23898</v>
      </c>
      <c r="G96" s="676">
        <f t="shared" si="22"/>
        <v>21108.219999999998</v>
      </c>
      <c r="H96" s="1235">
        <f t="shared" si="19"/>
        <v>21530.384399999999</v>
      </c>
      <c r="I96" s="674">
        <f>IF(Data!$H$5="Actual", SUM(E96+F96+G96)/3, SUM(D96+E96+F96)/3)</f>
        <v>20694.333333333332</v>
      </c>
      <c r="J96" s="928" t="str">
        <f t="shared" si="20"/>
        <v/>
      </c>
      <c r="K96" s="960" t="str">
        <f t="shared" si="21"/>
        <v/>
      </c>
      <c r="L96" s="185"/>
      <c r="M96" s="185"/>
      <c r="N96" s="185"/>
      <c r="O96" s="185"/>
      <c r="P96" s="185"/>
      <c r="Q96" s="185"/>
      <c r="R96" s="185"/>
      <c r="S96" s="185"/>
      <c r="T96" s="185"/>
      <c r="U96" s="185"/>
    </row>
    <row r="97" spans="1:21" ht="15.75" customHeight="1">
      <c r="A97" s="185"/>
      <c r="B97" s="795">
        <v>925</v>
      </c>
      <c r="C97" s="781" t="s">
        <v>565</v>
      </c>
      <c r="D97" s="674">
        <f>Data!B80</f>
        <v>433398</v>
      </c>
      <c r="E97" s="674">
        <f>Data!C80</f>
        <v>379439</v>
      </c>
      <c r="F97" s="674">
        <f>Data!D80</f>
        <v>396443</v>
      </c>
      <c r="G97" s="676">
        <f t="shared" si="22"/>
        <v>411155.20000000001</v>
      </c>
      <c r="H97" s="1235">
        <f t="shared" si="19"/>
        <v>419378.304</v>
      </c>
      <c r="I97" s="674">
        <f>IF(Data!$H$5="Actual", SUM(E97+F97+G97)/3, SUM(D97+E97+F97)/3)</f>
        <v>403093.33333333331</v>
      </c>
      <c r="J97" s="928" t="str">
        <f t="shared" si="20"/>
        <v/>
      </c>
      <c r="K97" s="960" t="str">
        <f t="shared" si="21"/>
        <v/>
      </c>
      <c r="L97" s="185"/>
      <c r="M97" s="185"/>
      <c r="N97" s="185"/>
      <c r="O97" s="185"/>
      <c r="P97" s="185"/>
      <c r="Q97" s="185"/>
      <c r="R97" s="185"/>
      <c r="S97" s="185"/>
      <c r="T97" s="185"/>
      <c r="U97" s="185"/>
    </row>
    <row r="98" spans="1:21" ht="15.75" customHeight="1">
      <c r="A98" s="185"/>
      <c r="B98" s="795">
        <v>926</v>
      </c>
      <c r="C98" s="781" t="s">
        <v>566</v>
      </c>
      <c r="D98" s="674">
        <f>Data!B81</f>
        <v>2043268</v>
      </c>
      <c r="E98" s="674">
        <f>Data!C81</f>
        <v>1681205</v>
      </c>
      <c r="F98" s="674">
        <f>Data!D81</f>
        <v>1727266</v>
      </c>
      <c r="G98" s="676">
        <f>AVERAGE(E98:F98)*1.02</f>
        <v>1738320.21</v>
      </c>
      <c r="H98" s="1235">
        <f t="shared" si="19"/>
        <v>1773086.6142</v>
      </c>
      <c r="I98" s="674">
        <f>IF(Data!$H$5="Actual", SUM(E98+F98+G98)/3, SUM(D98+E98+F98)/3)</f>
        <v>1817246.3333333333</v>
      </c>
      <c r="J98" s="928" t="str">
        <f t="shared" si="20"/>
        <v/>
      </c>
      <c r="K98" s="960" t="str">
        <f t="shared" si="21"/>
        <v/>
      </c>
      <c r="L98" s="185"/>
      <c r="M98" s="185"/>
      <c r="N98" s="185"/>
      <c r="O98" s="185"/>
      <c r="P98" s="185"/>
      <c r="Q98" s="185"/>
      <c r="R98" s="185"/>
      <c r="S98" s="185"/>
      <c r="T98" s="185"/>
      <c r="U98" s="185"/>
    </row>
    <row r="99" spans="1:21" ht="15.75" customHeight="1">
      <c r="A99" s="185"/>
      <c r="B99" s="795">
        <v>928</v>
      </c>
      <c r="C99" s="781" t="s">
        <v>567</v>
      </c>
      <c r="D99" s="674">
        <f>Data!B82</f>
        <v>10292</v>
      </c>
      <c r="E99" s="674">
        <f>Data!C82</f>
        <v>5963</v>
      </c>
      <c r="F99" s="674">
        <f>Data!D82</f>
        <v>0</v>
      </c>
      <c r="G99" s="676">
        <f t="shared" si="22"/>
        <v>5526.7</v>
      </c>
      <c r="H99" s="1235">
        <f t="shared" si="19"/>
        <v>5637.2339999999995</v>
      </c>
      <c r="I99" s="674">
        <f>IF(Data!$H$5="Actual", SUM(E99+F99+G99)/3, SUM(D99+E99+F99)/3)</f>
        <v>5418.333333333333</v>
      </c>
      <c r="J99" s="928" t="str">
        <f t="shared" si="20"/>
        <v/>
      </c>
      <c r="K99" s="960" t="str">
        <f t="shared" si="21"/>
        <v/>
      </c>
      <c r="L99" s="185"/>
      <c r="M99" s="185"/>
      <c r="N99" s="185"/>
      <c r="O99" s="185"/>
      <c r="P99" s="185"/>
      <c r="Q99" s="185"/>
      <c r="R99" s="185"/>
      <c r="S99" s="185"/>
      <c r="T99" s="185"/>
      <c r="U99" s="185"/>
    </row>
    <row r="100" spans="1:21" ht="15.75" customHeight="1">
      <c r="A100" s="185"/>
      <c r="B100" s="795">
        <v>929</v>
      </c>
      <c r="C100" s="781" t="s">
        <v>907</v>
      </c>
      <c r="D100" s="674">
        <f>Data!B83</f>
        <v>0</v>
      </c>
      <c r="E100" s="674">
        <f>Data!C83</f>
        <v>0</v>
      </c>
      <c r="F100" s="674">
        <f>Data!D83</f>
        <v>0</v>
      </c>
      <c r="G100" s="676">
        <f t="shared" si="22"/>
        <v>0</v>
      </c>
      <c r="H100" s="1235">
        <f t="shared" si="19"/>
        <v>0</v>
      </c>
      <c r="I100" s="674">
        <f>IF(Data!$H$5="Actual", SUM(E100+F100+G100)/3, SUM(D100+E100+F100)/3)</f>
        <v>0</v>
      </c>
      <c r="J100" s="928" t="str">
        <f t="shared" si="20"/>
        <v/>
      </c>
      <c r="K100" s="960" t="str">
        <f t="shared" si="21"/>
        <v/>
      </c>
      <c r="L100" s="185"/>
      <c r="M100" s="185"/>
      <c r="N100" s="185"/>
      <c r="O100" s="185"/>
      <c r="P100" s="185"/>
      <c r="Q100" s="185"/>
      <c r="R100" s="185"/>
      <c r="S100" s="185"/>
      <c r="T100" s="185"/>
      <c r="U100" s="185"/>
    </row>
    <row r="101" spans="1:21" s="90" customFormat="1" ht="15.75" customHeight="1">
      <c r="A101" s="186"/>
      <c r="B101" s="795">
        <v>930</v>
      </c>
      <c r="C101" s="781" t="s">
        <v>568</v>
      </c>
      <c r="D101" s="674">
        <f>Data!B84</f>
        <v>183650</v>
      </c>
      <c r="E101" s="674">
        <f>Data!C84</f>
        <v>114965</v>
      </c>
      <c r="F101" s="674">
        <f>Data!D84</f>
        <v>144287</v>
      </c>
      <c r="G101" s="676">
        <f>AVERAGE(E101:F101)*1.02</f>
        <v>132218.51999999999</v>
      </c>
      <c r="H101" s="1235">
        <f t="shared" si="19"/>
        <v>134862.8904</v>
      </c>
      <c r="I101" s="674">
        <f>IF(Data!$H$5="Actual", SUM(E101+F101+G101)/3, SUM(D101+E101+F101)/3)</f>
        <v>147634</v>
      </c>
      <c r="J101" s="928" t="str">
        <f t="shared" si="20"/>
        <v/>
      </c>
      <c r="K101" s="960" t="str">
        <f t="shared" si="21"/>
        <v/>
      </c>
      <c r="L101" s="186"/>
      <c r="M101" s="186"/>
      <c r="N101" s="186"/>
      <c r="O101" s="186"/>
      <c r="P101" s="186"/>
      <c r="Q101" s="186"/>
      <c r="R101" s="186"/>
      <c r="S101" s="186"/>
      <c r="T101" s="186"/>
      <c r="U101" s="186"/>
    </row>
    <row r="102" spans="1:21" s="90" customFormat="1" ht="15.75" customHeight="1">
      <c r="A102" s="186"/>
      <c r="B102" s="795">
        <v>931</v>
      </c>
      <c r="C102" s="781" t="s">
        <v>878</v>
      </c>
      <c r="D102" s="674">
        <f>Data!B85</f>
        <v>0</v>
      </c>
      <c r="E102" s="674">
        <f>Data!C85</f>
        <v>0</v>
      </c>
      <c r="F102" s="674">
        <f>Data!D85</f>
        <v>0</v>
      </c>
      <c r="G102" s="676">
        <f t="shared" si="22"/>
        <v>0</v>
      </c>
      <c r="H102" s="1235">
        <f t="shared" si="19"/>
        <v>0</v>
      </c>
      <c r="I102" s="674">
        <f>IF(Data!$H$5="Actual", SUM(E102+F102+G102)/3, SUM(D102+E102+F102)/3)</f>
        <v>0</v>
      </c>
      <c r="J102" s="928" t="str">
        <f t="shared" si="20"/>
        <v/>
      </c>
      <c r="K102" s="960" t="str">
        <f t="shared" si="21"/>
        <v/>
      </c>
      <c r="L102" s="186"/>
      <c r="M102" s="186"/>
      <c r="N102" s="186"/>
      <c r="O102" s="186"/>
      <c r="P102" s="186"/>
      <c r="Q102" s="186"/>
      <c r="R102" s="186"/>
      <c r="S102" s="186"/>
      <c r="T102" s="186"/>
      <c r="U102" s="186"/>
    </row>
    <row r="103" spans="1:21" s="90" customFormat="1" ht="15.75" customHeight="1">
      <c r="A103" s="186"/>
      <c r="B103" s="795">
        <v>932</v>
      </c>
      <c r="C103" s="781" t="s">
        <v>570</v>
      </c>
      <c r="D103" s="674">
        <f>Data!B86</f>
        <v>4893</v>
      </c>
      <c r="E103" s="674">
        <f>Data!C86</f>
        <v>4787</v>
      </c>
      <c r="F103" s="674">
        <f>Data!D86</f>
        <v>6119</v>
      </c>
      <c r="G103" s="676">
        <f t="shared" si="22"/>
        <v>5371.66</v>
      </c>
      <c r="H103" s="1235">
        <f t="shared" si="19"/>
        <v>5479.0932000000003</v>
      </c>
      <c r="I103" s="674">
        <f>IF(Data!$H$5="Actual", SUM(E103+F103+G103)/3, SUM(D103+E103+F103)/3)</f>
        <v>5266.333333333333</v>
      </c>
      <c r="J103" s="928" t="str">
        <f t="shared" si="20"/>
        <v/>
      </c>
      <c r="K103" s="962" t="str">
        <f t="shared" si="21"/>
        <v/>
      </c>
      <c r="L103" s="186"/>
      <c r="M103" s="186"/>
      <c r="N103" s="186"/>
      <c r="O103" s="186"/>
      <c r="P103" s="186"/>
      <c r="Q103" s="186"/>
      <c r="R103" s="186"/>
      <c r="S103" s="186"/>
      <c r="T103" s="186"/>
      <c r="U103" s="186"/>
    </row>
    <row r="104" spans="1:21" s="90" customFormat="1" ht="15.75" customHeight="1">
      <c r="A104" s="186"/>
      <c r="B104" s="795"/>
      <c r="C104" s="781"/>
      <c r="D104" s="955"/>
      <c r="E104" s="955"/>
      <c r="F104" s="955"/>
      <c r="G104" s="936"/>
      <c r="H104" s="936"/>
      <c r="I104" s="955"/>
      <c r="J104" s="868"/>
      <c r="K104" s="869"/>
      <c r="L104" s="186"/>
      <c r="M104" s="186"/>
      <c r="N104" s="186"/>
      <c r="O104" s="186"/>
      <c r="P104" s="186"/>
      <c r="Q104" s="186"/>
      <c r="R104" s="186"/>
      <c r="S104" s="186"/>
      <c r="T104" s="186"/>
      <c r="U104" s="186"/>
    </row>
    <row r="105" spans="1:21" s="90" customFormat="1" ht="15.75" customHeight="1">
      <c r="A105" s="186"/>
      <c r="B105" s="795"/>
      <c r="C105" s="781" t="s">
        <v>571</v>
      </c>
      <c r="D105" s="937">
        <f t="shared" ref="D105:I105" si="23">SUM(D92:D93)-D94+SUM(D95:D99)-D100+SUM(D101:D103)</f>
        <v>3852811</v>
      </c>
      <c r="E105" s="937">
        <f t="shared" si="23"/>
        <v>3354667</v>
      </c>
      <c r="F105" s="937">
        <f t="shared" si="23"/>
        <v>3469956</v>
      </c>
      <c r="G105" s="937">
        <f t="shared" si="23"/>
        <v>3496688.3500000006</v>
      </c>
      <c r="H105" s="937">
        <f t="shared" si="23"/>
        <v>3718784.7338000005</v>
      </c>
      <c r="I105" s="937">
        <f t="shared" si="23"/>
        <v>3559144.6666666665</v>
      </c>
      <c r="J105" s="868"/>
      <c r="K105" s="869"/>
      <c r="L105" s="186"/>
      <c r="M105" s="186"/>
      <c r="N105" s="186"/>
      <c r="O105" s="186"/>
      <c r="P105" s="186"/>
      <c r="Q105" s="186"/>
      <c r="R105" s="186"/>
      <c r="S105" s="186"/>
      <c r="T105" s="186"/>
      <c r="U105" s="186"/>
    </row>
    <row r="106" spans="1:21" s="90" customFormat="1" ht="15.75" customHeight="1">
      <c r="A106" s="186"/>
      <c r="B106" s="795"/>
      <c r="C106" s="781"/>
      <c r="D106" s="786"/>
      <c r="E106" s="786"/>
      <c r="F106" s="786"/>
      <c r="G106" s="726"/>
      <c r="H106" s="726"/>
      <c r="I106" s="919"/>
      <c r="J106" s="868"/>
      <c r="K106" s="869"/>
      <c r="L106" s="186"/>
      <c r="M106" s="186"/>
      <c r="N106" s="186"/>
      <c r="O106" s="186"/>
      <c r="P106" s="186"/>
      <c r="Q106" s="186"/>
      <c r="R106" s="186"/>
      <c r="S106" s="186"/>
      <c r="T106" s="186"/>
      <c r="U106" s="186"/>
    </row>
    <row r="107" spans="1:21" s="90" customFormat="1" ht="15.75" customHeight="1" thickBot="1">
      <c r="A107" s="186"/>
      <c r="B107" s="807"/>
      <c r="C107" s="781" t="s">
        <v>572</v>
      </c>
      <c r="D107" s="938">
        <f t="shared" ref="D107:I107" si="24">ROUND(SUM(D23+D38+D49+D79+D88+D90+D105),0)</f>
        <v>14672400</v>
      </c>
      <c r="E107" s="938">
        <f t="shared" si="24"/>
        <v>13535699</v>
      </c>
      <c r="F107" s="938">
        <f t="shared" si="24"/>
        <v>14233458</v>
      </c>
      <c r="G107" s="938">
        <f t="shared" si="24"/>
        <v>14255733</v>
      </c>
      <c r="H107" s="938">
        <f t="shared" si="24"/>
        <v>15107622</v>
      </c>
      <c r="I107" s="938">
        <f t="shared" si="24"/>
        <v>14147186</v>
      </c>
      <c r="J107" s="805"/>
      <c r="K107" s="866"/>
      <c r="L107" s="186"/>
      <c r="M107" s="186"/>
      <c r="N107" s="186"/>
      <c r="O107" s="186"/>
      <c r="P107" s="186"/>
      <c r="Q107" s="186"/>
      <c r="R107" s="186"/>
      <c r="S107" s="186"/>
      <c r="T107" s="186"/>
      <c r="U107" s="186"/>
    </row>
    <row r="108" spans="1:21" s="90" customFormat="1" ht="15.75" customHeight="1" thickTop="1">
      <c r="A108" s="186"/>
      <c r="B108" s="807"/>
      <c r="C108" s="781"/>
      <c r="D108" s="779"/>
      <c r="E108" s="779"/>
      <c r="F108" s="780"/>
      <c r="G108" s="779"/>
      <c r="H108" s="779"/>
      <c r="I108" s="783"/>
      <c r="J108" s="959"/>
      <c r="K108" s="867"/>
      <c r="L108" s="186"/>
      <c r="M108" s="186"/>
      <c r="N108" s="186"/>
      <c r="O108" s="186"/>
      <c r="P108" s="186"/>
      <c r="Q108" s="186"/>
      <c r="R108" s="186"/>
      <c r="S108" s="186"/>
      <c r="T108" s="186"/>
      <c r="U108" s="186"/>
    </row>
    <row r="109" spans="1:21" s="90" customFormat="1" ht="15.75" customHeight="1">
      <c r="A109" s="186"/>
      <c r="B109" s="929" t="s">
        <v>423</v>
      </c>
      <c r="C109" s="886" t="str">
        <f>CONCATENATE("All ",TestYear-1," and test year ",TestYear," estimates that vary from the three year average by")</f>
        <v>All 2014 and test year 2015 estimates that vary from the three year average by</v>
      </c>
      <c r="D109" s="860"/>
      <c r="E109" s="860"/>
      <c r="F109" s="860"/>
      <c r="G109" s="781"/>
      <c r="H109" s="737"/>
      <c r="I109" s="963"/>
      <c r="J109" s="868"/>
      <c r="K109" s="869"/>
      <c r="L109" s="186"/>
      <c r="M109" s="186"/>
      <c r="N109" s="186"/>
      <c r="O109" s="186"/>
      <c r="P109" s="186"/>
      <c r="Q109" s="186"/>
      <c r="R109" s="186"/>
      <c r="S109" s="186"/>
      <c r="T109" s="186"/>
      <c r="U109" s="186"/>
    </row>
    <row r="110" spans="1:21" ht="15.75" customHeight="1">
      <c r="A110" s="185"/>
      <c r="B110" s="861"/>
      <c r="C110" s="860" t="s">
        <v>982</v>
      </c>
      <c r="D110" s="860"/>
      <c r="E110" s="860"/>
      <c r="F110" s="860"/>
      <c r="G110" s="673"/>
      <c r="H110" s="673"/>
      <c r="I110" s="673"/>
      <c r="J110" s="810"/>
      <c r="K110" s="838"/>
      <c r="L110" s="185"/>
      <c r="M110" s="185"/>
      <c r="N110" s="185"/>
      <c r="O110" s="185"/>
      <c r="P110" s="185"/>
      <c r="Q110" s="185"/>
      <c r="R110" s="185"/>
      <c r="S110" s="185"/>
      <c r="T110" s="185"/>
      <c r="U110" s="185"/>
    </row>
    <row r="111" spans="1:21" ht="15.75" customHeight="1">
      <c r="A111" s="185"/>
      <c r="B111" s="700"/>
      <c r="C111" s="673"/>
      <c r="D111" s="673"/>
      <c r="E111" s="673"/>
      <c r="F111" s="673"/>
      <c r="G111" s="673"/>
      <c r="H111" s="673"/>
      <c r="I111" s="673"/>
      <c r="J111" s="810"/>
      <c r="K111" s="838"/>
      <c r="L111" s="185"/>
      <c r="M111" s="185"/>
      <c r="N111" s="185"/>
      <c r="O111" s="185"/>
      <c r="P111" s="185"/>
      <c r="Q111" s="185"/>
      <c r="R111" s="185"/>
      <c r="S111" s="185"/>
      <c r="T111" s="185"/>
      <c r="U111" s="185"/>
    </row>
    <row r="112" spans="1:21" ht="15.75" customHeight="1" thickBot="1">
      <c r="A112" s="185"/>
      <c r="B112" s="704"/>
      <c r="C112" s="705"/>
      <c r="D112" s="705"/>
      <c r="E112" s="705"/>
      <c r="F112" s="705"/>
      <c r="G112" s="705"/>
      <c r="H112" s="705"/>
      <c r="I112" s="705"/>
      <c r="J112" s="820"/>
      <c r="K112" s="847"/>
      <c r="L112" s="185"/>
      <c r="M112" s="185"/>
      <c r="N112" s="185"/>
      <c r="O112" s="185"/>
      <c r="P112" s="185"/>
      <c r="Q112" s="185"/>
      <c r="R112" s="185"/>
      <c r="S112" s="185"/>
      <c r="T112" s="185"/>
      <c r="U112" s="185"/>
    </row>
    <row r="113" spans="1:21" ht="13.5" thickTop="1">
      <c r="A113" s="185"/>
      <c r="B113" s="661"/>
      <c r="C113" s="185"/>
      <c r="D113" s="185"/>
      <c r="E113" s="185"/>
      <c r="F113" s="185"/>
      <c r="G113" s="186"/>
      <c r="H113" s="185"/>
      <c r="I113" s="185"/>
      <c r="J113" s="752"/>
      <c r="K113" s="752"/>
      <c r="L113" s="185"/>
      <c r="M113" s="185"/>
      <c r="N113" s="185"/>
      <c r="O113" s="185"/>
      <c r="P113" s="185"/>
      <c r="Q113" s="185"/>
      <c r="R113" s="185"/>
      <c r="S113" s="185"/>
      <c r="T113" s="185"/>
      <c r="U113" s="185"/>
    </row>
    <row r="114" spans="1:21">
      <c r="A114" s="185"/>
      <c r="B114" s="661"/>
      <c r="C114" s="185"/>
      <c r="D114" s="185"/>
      <c r="E114" s="185"/>
      <c r="F114" s="185"/>
      <c r="G114" s="186"/>
      <c r="H114" s="185"/>
      <c r="I114" s="185"/>
      <c r="J114" s="752"/>
      <c r="K114" s="752"/>
      <c r="L114" s="185"/>
      <c r="M114" s="185"/>
      <c r="N114" s="185"/>
      <c r="O114" s="185"/>
      <c r="P114" s="185"/>
      <c r="Q114" s="185"/>
      <c r="R114" s="185"/>
      <c r="S114" s="185"/>
      <c r="T114" s="185"/>
      <c r="U114" s="185"/>
    </row>
    <row r="115" spans="1:21">
      <c r="A115" s="185"/>
      <c r="B115" s="661"/>
      <c r="C115" s="185"/>
      <c r="D115" s="185"/>
      <c r="E115" s="185"/>
      <c r="F115" s="185"/>
      <c r="G115" s="186"/>
      <c r="H115" s="185"/>
      <c r="I115" s="185"/>
      <c r="J115" s="752"/>
      <c r="K115" s="752"/>
      <c r="L115" s="185"/>
      <c r="M115" s="185"/>
      <c r="N115" s="185"/>
      <c r="O115" s="185"/>
      <c r="P115" s="185"/>
      <c r="Q115" s="185"/>
      <c r="R115" s="185"/>
      <c r="S115" s="185"/>
      <c r="T115" s="185"/>
      <c r="U115" s="185"/>
    </row>
    <row r="116" spans="1:21">
      <c r="A116" s="185"/>
      <c r="B116" s="661"/>
      <c r="C116" s="185"/>
      <c r="D116" s="185"/>
      <c r="E116" s="1821"/>
      <c r="F116" s="185"/>
      <c r="G116" s="186"/>
      <c r="H116" s="185"/>
      <c r="I116" s="185"/>
      <c r="J116" s="752"/>
      <c r="K116" s="752"/>
      <c r="L116" s="185"/>
      <c r="M116" s="185"/>
      <c r="N116" s="185"/>
      <c r="O116" s="185"/>
      <c r="P116" s="185"/>
      <c r="Q116" s="185"/>
      <c r="R116" s="185"/>
      <c r="S116" s="185"/>
      <c r="T116" s="185"/>
      <c r="U116" s="185"/>
    </row>
    <row r="117" spans="1:21">
      <c r="A117" s="185"/>
      <c r="B117" s="661"/>
      <c r="C117" s="185"/>
      <c r="D117" s="185"/>
      <c r="E117" s="1821"/>
      <c r="F117" s="185"/>
      <c r="G117" s="186"/>
      <c r="H117" s="185"/>
      <c r="I117" s="185"/>
      <c r="J117" s="752"/>
      <c r="K117" s="752"/>
      <c r="L117" s="185"/>
      <c r="M117" s="185"/>
      <c r="N117" s="185"/>
      <c r="O117" s="185"/>
      <c r="P117" s="185"/>
      <c r="Q117" s="185"/>
      <c r="R117" s="185"/>
      <c r="S117" s="185"/>
      <c r="T117" s="185"/>
      <c r="U117" s="185"/>
    </row>
    <row r="118" spans="1:21">
      <c r="A118" s="185"/>
      <c r="B118" s="661"/>
      <c r="C118" s="185"/>
      <c r="D118" s="185"/>
      <c r="E118" s="1821"/>
      <c r="F118" s="185"/>
      <c r="G118" s="186"/>
      <c r="H118" s="185"/>
      <c r="I118" s="185"/>
      <c r="J118" s="752"/>
      <c r="K118" s="752"/>
      <c r="L118" s="185"/>
      <c r="M118" s="185"/>
      <c r="N118" s="185"/>
      <c r="O118" s="185"/>
      <c r="P118" s="185"/>
      <c r="Q118" s="185"/>
      <c r="R118" s="185"/>
      <c r="S118" s="185"/>
      <c r="T118" s="185"/>
      <c r="U118" s="185"/>
    </row>
    <row r="119" spans="1:21">
      <c r="A119" s="185"/>
      <c r="B119" s="661"/>
      <c r="C119" s="185"/>
      <c r="D119" s="665"/>
      <c r="E119" s="185"/>
      <c r="F119" s="185"/>
      <c r="G119" s="186"/>
      <c r="H119" s="185"/>
      <c r="I119" s="185"/>
      <c r="J119" s="752"/>
      <c r="K119" s="752"/>
      <c r="L119" s="185"/>
      <c r="M119" s="185"/>
      <c r="N119" s="185"/>
      <c r="O119" s="185"/>
      <c r="P119" s="185"/>
      <c r="Q119" s="185"/>
      <c r="R119" s="185"/>
      <c r="S119" s="185"/>
      <c r="T119" s="185"/>
      <c r="U119" s="185"/>
    </row>
    <row r="120" spans="1:21">
      <c r="A120" s="185"/>
      <c r="B120" s="661"/>
      <c r="C120" s="185"/>
      <c r="D120" s="665"/>
      <c r="E120" s="185"/>
      <c r="F120" s="186"/>
      <c r="G120" s="186"/>
      <c r="H120" s="185"/>
      <c r="I120" s="185"/>
      <c r="J120" s="752"/>
      <c r="K120" s="752"/>
      <c r="L120" s="185"/>
      <c r="M120" s="185"/>
      <c r="N120" s="185"/>
      <c r="O120" s="185"/>
      <c r="P120" s="185"/>
      <c r="Q120" s="185"/>
      <c r="R120" s="185"/>
      <c r="S120" s="185"/>
      <c r="T120" s="185"/>
      <c r="U120" s="185"/>
    </row>
    <row r="121" spans="1:21">
      <c r="A121" s="185"/>
      <c r="B121" s="661"/>
      <c r="C121" s="185"/>
      <c r="D121" s="185"/>
      <c r="E121" s="185"/>
      <c r="F121" s="186"/>
      <c r="G121" s="186"/>
      <c r="H121" s="185"/>
      <c r="I121" s="185"/>
      <c r="J121" s="752"/>
      <c r="K121" s="752"/>
      <c r="L121" s="185"/>
      <c r="M121" s="185"/>
      <c r="N121" s="185"/>
      <c r="O121" s="185"/>
      <c r="P121" s="185"/>
      <c r="Q121" s="185"/>
      <c r="R121" s="185"/>
      <c r="S121" s="185"/>
      <c r="T121" s="185"/>
      <c r="U121" s="185"/>
    </row>
    <row r="122" spans="1:21">
      <c r="A122" s="185"/>
      <c r="B122" s="661"/>
      <c r="C122" s="185"/>
      <c r="D122" s="185"/>
      <c r="E122" s="185"/>
      <c r="F122" s="185"/>
      <c r="G122" s="186"/>
      <c r="H122" s="185"/>
      <c r="I122" s="185"/>
      <c r="J122" s="752"/>
      <c r="K122" s="752"/>
      <c r="L122" s="185"/>
      <c r="M122" s="185"/>
      <c r="N122" s="185"/>
      <c r="O122" s="185"/>
      <c r="P122" s="185"/>
      <c r="Q122" s="185"/>
      <c r="R122" s="185"/>
      <c r="S122" s="185"/>
      <c r="T122" s="185"/>
      <c r="U122" s="185"/>
    </row>
    <row r="123" spans="1:21">
      <c r="A123" s="185"/>
      <c r="B123" s="661"/>
      <c r="C123" s="185"/>
      <c r="D123" s="185"/>
      <c r="E123" s="185"/>
      <c r="F123" s="185"/>
      <c r="G123" s="186"/>
      <c r="H123" s="185"/>
      <c r="I123" s="185"/>
      <c r="J123" s="752"/>
      <c r="K123" s="752"/>
      <c r="L123" s="185"/>
      <c r="M123" s="185"/>
      <c r="N123" s="185"/>
      <c r="O123" s="185"/>
      <c r="P123" s="185"/>
      <c r="Q123" s="185"/>
      <c r="R123" s="185"/>
      <c r="S123" s="185"/>
      <c r="T123" s="185"/>
      <c r="U123" s="185"/>
    </row>
    <row r="124" spans="1:21">
      <c r="A124" s="185"/>
      <c r="B124" s="661"/>
      <c r="C124" s="185"/>
      <c r="D124" s="185"/>
      <c r="E124" s="185"/>
      <c r="F124" s="185"/>
      <c r="G124" s="186"/>
      <c r="H124" s="185"/>
      <c r="I124" s="185"/>
      <c r="J124" s="752"/>
      <c r="K124" s="752"/>
      <c r="L124" s="185"/>
      <c r="M124" s="185"/>
      <c r="N124" s="185"/>
      <c r="O124" s="185"/>
      <c r="P124" s="185"/>
      <c r="Q124" s="185"/>
      <c r="R124" s="185"/>
      <c r="S124" s="185"/>
      <c r="T124" s="185"/>
      <c r="U124" s="185"/>
    </row>
    <row r="125" spans="1:21">
      <c r="A125" s="185"/>
      <c r="B125" s="661"/>
      <c r="C125" s="185"/>
      <c r="D125" s="185"/>
      <c r="E125" s="185"/>
      <c r="F125" s="185"/>
      <c r="G125" s="186"/>
      <c r="H125" s="185"/>
      <c r="I125" s="185"/>
      <c r="J125" s="752"/>
      <c r="K125" s="752"/>
      <c r="L125" s="185"/>
      <c r="M125" s="185"/>
      <c r="N125" s="185"/>
      <c r="O125" s="185"/>
      <c r="P125" s="185"/>
      <c r="Q125" s="185"/>
      <c r="R125" s="185"/>
      <c r="S125" s="185"/>
      <c r="T125" s="185"/>
      <c r="U125" s="185"/>
    </row>
    <row r="126" spans="1:21">
      <c r="A126" s="185"/>
      <c r="B126" s="661"/>
      <c r="C126" s="185"/>
      <c r="D126" s="185"/>
      <c r="E126" s="185"/>
      <c r="F126" s="185"/>
      <c r="G126" s="186"/>
      <c r="H126" s="185"/>
      <c r="I126" s="185"/>
      <c r="J126" s="752"/>
      <c r="K126" s="752"/>
      <c r="L126" s="185"/>
      <c r="M126" s="185"/>
      <c r="N126" s="185"/>
      <c r="O126" s="185"/>
      <c r="P126" s="185"/>
      <c r="Q126" s="185"/>
      <c r="R126" s="185"/>
      <c r="S126" s="185"/>
      <c r="T126" s="185"/>
      <c r="U126" s="185"/>
    </row>
    <row r="127" spans="1:21">
      <c r="A127" s="185"/>
      <c r="B127" s="661"/>
      <c r="C127" s="185"/>
      <c r="D127" s="185"/>
      <c r="E127" s="185"/>
      <c r="F127" s="185"/>
      <c r="G127" s="186"/>
      <c r="H127" s="185"/>
      <c r="I127" s="185"/>
      <c r="J127" s="752"/>
      <c r="K127" s="752"/>
      <c r="L127" s="185"/>
      <c r="M127" s="185"/>
      <c r="N127" s="185"/>
      <c r="O127" s="185"/>
      <c r="P127" s="185"/>
      <c r="Q127" s="185"/>
      <c r="R127" s="185"/>
      <c r="S127" s="185"/>
      <c r="T127" s="185"/>
      <c r="U127" s="185"/>
    </row>
    <row r="128" spans="1:21">
      <c r="A128" s="185"/>
      <c r="B128" s="661"/>
      <c r="C128" s="185"/>
      <c r="D128" s="185"/>
      <c r="E128" s="185"/>
      <c r="F128" s="185"/>
      <c r="G128" s="186"/>
      <c r="H128" s="185"/>
      <c r="I128" s="185"/>
      <c r="J128" s="752"/>
      <c r="K128" s="752"/>
      <c r="L128" s="185"/>
      <c r="M128" s="185"/>
      <c r="N128" s="185"/>
      <c r="O128" s="185"/>
      <c r="P128" s="185"/>
      <c r="Q128" s="185"/>
      <c r="R128" s="185"/>
      <c r="S128" s="185"/>
      <c r="T128" s="185"/>
      <c r="U128" s="185"/>
    </row>
    <row r="129" spans="1:21">
      <c r="A129" s="185"/>
      <c r="B129" s="661"/>
      <c r="C129" s="185"/>
      <c r="D129" s="185"/>
      <c r="E129" s="185"/>
      <c r="F129" s="185"/>
      <c r="G129" s="186"/>
      <c r="H129" s="185"/>
      <c r="I129" s="185"/>
      <c r="J129" s="752"/>
      <c r="K129" s="752"/>
      <c r="L129" s="185"/>
      <c r="M129" s="185"/>
      <c r="N129" s="185"/>
      <c r="O129" s="185"/>
      <c r="P129" s="185"/>
      <c r="Q129" s="185"/>
      <c r="R129" s="185"/>
      <c r="S129" s="185"/>
      <c r="T129" s="185"/>
      <c r="U129" s="185"/>
    </row>
    <row r="130" spans="1:21">
      <c r="A130" s="185"/>
      <c r="B130" s="661"/>
      <c r="C130" s="185"/>
      <c r="D130" s="185"/>
      <c r="E130" s="185"/>
      <c r="F130" s="185"/>
      <c r="G130" s="186"/>
      <c r="H130" s="185"/>
      <c r="I130" s="185"/>
      <c r="J130" s="752"/>
      <c r="K130" s="752"/>
      <c r="L130" s="185"/>
      <c r="M130" s="185"/>
      <c r="N130" s="185"/>
      <c r="O130" s="185"/>
      <c r="P130" s="185"/>
      <c r="Q130" s="185"/>
      <c r="R130" s="185"/>
      <c r="S130" s="185"/>
      <c r="T130" s="185"/>
      <c r="U130" s="185"/>
    </row>
    <row r="131" spans="1:21">
      <c r="A131" s="185"/>
      <c r="B131" s="661"/>
      <c r="C131" s="185"/>
      <c r="D131" s="185"/>
      <c r="E131" s="185"/>
      <c r="F131" s="185"/>
      <c r="G131" s="186"/>
      <c r="H131" s="185"/>
      <c r="I131" s="185"/>
      <c r="J131" s="752"/>
      <c r="K131" s="752"/>
      <c r="L131" s="185"/>
      <c r="M131" s="185"/>
      <c r="N131" s="185"/>
      <c r="O131" s="185"/>
      <c r="P131" s="185"/>
      <c r="Q131" s="185"/>
      <c r="R131" s="185"/>
      <c r="S131" s="185"/>
      <c r="T131" s="185"/>
      <c r="U131" s="185"/>
    </row>
    <row r="132" spans="1:21">
      <c r="A132" s="185"/>
      <c r="B132" s="661"/>
      <c r="C132" s="185"/>
      <c r="D132" s="185"/>
      <c r="E132" s="185"/>
      <c r="F132" s="185"/>
      <c r="G132" s="186"/>
      <c r="H132" s="185"/>
      <c r="I132" s="185"/>
      <c r="J132" s="752"/>
      <c r="K132" s="752"/>
      <c r="L132" s="185"/>
      <c r="M132" s="185"/>
      <c r="N132" s="185"/>
      <c r="O132" s="185"/>
      <c r="P132" s="185"/>
      <c r="Q132" s="185"/>
      <c r="R132" s="185"/>
      <c r="S132" s="185"/>
      <c r="T132" s="185"/>
      <c r="U132" s="185"/>
    </row>
    <row r="133" spans="1:21">
      <c r="A133" s="185"/>
      <c r="B133" s="661"/>
      <c r="C133" s="185"/>
      <c r="D133" s="185"/>
      <c r="E133" s="185"/>
      <c r="F133" s="185"/>
      <c r="G133" s="186"/>
      <c r="H133" s="185"/>
      <c r="I133" s="185"/>
      <c r="J133" s="752"/>
      <c r="K133" s="752"/>
      <c r="L133" s="185"/>
      <c r="M133" s="185"/>
      <c r="N133" s="185"/>
      <c r="O133" s="185"/>
      <c r="P133" s="185"/>
      <c r="Q133" s="185"/>
      <c r="R133" s="185"/>
      <c r="S133" s="185"/>
      <c r="T133" s="185"/>
      <c r="U133" s="185"/>
    </row>
    <row r="134" spans="1:21">
      <c r="A134" s="185"/>
      <c r="B134" s="661"/>
      <c r="C134" s="185"/>
      <c r="D134" s="185"/>
      <c r="E134" s="185"/>
      <c r="F134" s="185"/>
      <c r="G134" s="186"/>
      <c r="H134" s="185"/>
      <c r="I134" s="185"/>
      <c r="J134" s="752"/>
      <c r="K134" s="752"/>
      <c r="L134" s="185"/>
      <c r="M134" s="185"/>
      <c r="N134" s="185"/>
      <c r="O134" s="185"/>
      <c r="P134" s="185"/>
      <c r="Q134" s="185"/>
      <c r="R134" s="185"/>
      <c r="S134" s="185"/>
      <c r="T134" s="185"/>
      <c r="U134" s="185"/>
    </row>
    <row r="135" spans="1:21">
      <c r="A135" s="185"/>
      <c r="B135" s="661"/>
      <c r="C135" s="185"/>
      <c r="D135" s="185"/>
      <c r="E135" s="185"/>
      <c r="F135" s="185"/>
      <c r="G135" s="186"/>
      <c r="H135" s="185"/>
      <c r="I135" s="185"/>
      <c r="J135" s="752"/>
      <c r="K135" s="752"/>
      <c r="L135" s="185"/>
      <c r="M135" s="185"/>
      <c r="N135" s="185"/>
      <c r="O135" s="185"/>
      <c r="P135" s="185"/>
      <c r="Q135" s="185"/>
      <c r="R135" s="185"/>
      <c r="S135" s="185"/>
      <c r="T135" s="185"/>
      <c r="U135" s="185"/>
    </row>
    <row r="136" spans="1:21">
      <c r="A136" s="185"/>
      <c r="B136" s="661"/>
      <c r="C136" s="185"/>
      <c r="D136" s="185"/>
      <c r="E136" s="185"/>
      <c r="F136" s="185"/>
      <c r="G136" s="186"/>
      <c r="H136" s="185"/>
      <c r="I136" s="185"/>
      <c r="J136" s="752"/>
      <c r="K136" s="752"/>
      <c r="L136" s="185"/>
      <c r="M136" s="185"/>
      <c r="N136" s="185"/>
      <c r="O136" s="185"/>
      <c r="P136" s="185"/>
      <c r="Q136" s="185"/>
      <c r="R136" s="185"/>
      <c r="S136" s="185"/>
      <c r="T136" s="185"/>
      <c r="U136" s="185"/>
    </row>
    <row r="137" spans="1:21">
      <c r="A137" s="185"/>
      <c r="B137" s="661"/>
      <c r="C137" s="185"/>
      <c r="D137" s="185"/>
      <c r="E137" s="185"/>
      <c r="F137" s="185"/>
      <c r="G137" s="186"/>
      <c r="H137" s="185"/>
      <c r="I137" s="185"/>
      <c r="J137" s="752"/>
      <c r="K137" s="752"/>
      <c r="L137" s="185"/>
      <c r="M137" s="185"/>
      <c r="N137" s="185"/>
      <c r="O137" s="185"/>
      <c r="P137" s="185"/>
      <c r="Q137" s="185"/>
      <c r="R137" s="185"/>
      <c r="S137" s="185"/>
      <c r="T137" s="185"/>
      <c r="U137" s="185"/>
    </row>
    <row r="138" spans="1:21">
      <c r="A138" s="185"/>
      <c r="B138" s="661"/>
      <c r="C138" s="185"/>
      <c r="D138" s="185"/>
      <c r="E138" s="185"/>
      <c r="F138" s="185"/>
      <c r="G138" s="186"/>
      <c r="H138" s="185"/>
      <c r="I138" s="185"/>
      <c r="J138" s="752"/>
      <c r="K138" s="752"/>
      <c r="L138" s="185"/>
      <c r="M138" s="185"/>
      <c r="N138" s="185"/>
      <c r="O138" s="185"/>
      <c r="P138" s="185"/>
      <c r="Q138" s="185"/>
      <c r="R138" s="185"/>
      <c r="S138" s="185"/>
      <c r="T138" s="185"/>
      <c r="U138" s="185"/>
    </row>
    <row r="139" spans="1:21">
      <c r="A139" s="185"/>
      <c r="B139" s="661"/>
      <c r="C139" s="185"/>
      <c r="D139" s="185"/>
      <c r="E139" s="185"/>
      <c r="F139" s="185"/>
      <c r="G139" s="186"/>
      <c r="H139" s="185"/>
      <c r="I139" s="185"/>
      <c r="J139" s="752"/>
      <c r="K139" s="752"/>
      <c r="L139" s="185"/>
      <c r="M139" s="185"/>
      <c r="N139" s="185"/>
      <c r="O139" s="185"/>
      <c r="P139" s="185"/>
      <c r="Q139" s="185"/>
      <c r="R139" s="185"/>
      <c r="S139" s="185"/>
      <c r="T139" s="185"/>
      <c r="U139" s="185"/>
    </row>
    <row r="140" spans="1:21">
      <c r="A140" s="185"/>
      <c r="B140" s="661"/>
      <c r="C140" s="185"/>
      <c r="D140" s="185"/>
      <c r="E140" s="185"/>
      <c r="F140" s="185"/>
      <c r="G140" s="186"/>
      <c r="H140" s="185"/>
      <c r="I140" s="185"/>
      <c r="J140" s="752"/>
      <c r="K140" s="752"/>
      <c r="L140" s="185"/>
      <c r="M140" s="185"/>
      <c r="N140" s="185"/>
      <c r="O140" s="185"/>
      <c r="P140" s="185"/>
      <c r="Q140" s="185"/>
      <c r="R140" s="185"/>
      <c r="S140" s="185"/>
      <c r="T140" s="185"/>
      <c r="U140" s="185"/>
    </row>
    <row r="141" spans="1:21">
      <c r="A141" s="185"/>
      <c r="B141" s="661"/>
      <c r="C141" s="185"/>
      <c r="D141" s="185"/>
      <c r="E141" s="185"/>
      <c r="F141" s="185"/>
      <c r="G141" s="186"/>
      <c r="H141" s="185"/>
      <c r="I141" s="185"/>
      <c r="J141" s="752"/>
      <c r="K141" s="752"/>
      <c r="L141" s="185"/>
      <c r="M141" s="185"/>
      <c r="N141" s="185"/>
      <c r="O141" s="185"/>
      <c r="P141" s="185"/>
      <c r="Q141" s="185"/>
      <c r="R141" s="185"/>
      <c r="S141" s="185"/>
      <c r="T141" s="185"/>
      <c r="U141" s="185"/>
    </row>
    <row r="142" spans="1:21">
      <c r="A142" s="185"/>
      <c r="B142" s="661"/>
      <c r="C142" s="185"/>
      <c r="D142" s="185"/>
      <c r="E142" s="185"/>
      <c r="F142" s="185"/>
      <c r="G142" s="186"/>
      <c r="H142" s="185"/>
      <c r="I142" s="185"/>
      <c r="J142" s="752"/>
      <c r="K142" s="752"/>
      <c r="L142" s="185"/>
      <c r="M142" s="185"/>
      <c r="N142" s="185"/>
      <c r="O142" s="185"/>
      <c r="P142" s="185"/>
      <c r="Q142" s="185"/>
      <c r="R142" s="185"/>
      <c r="S142" s="185"/>
      <c r="T142" s="185"/>
      <c r="U142" s="185"/>
    </row>
    <row r="143" spans="1:21">
      <c r="A143" s="185"/>
      <c r="B143" s="661"/>
      <c r="C143" s="185"/>
      <c r="D143" s="185"/>
      <c r="E143" s="185"/>
      <c r="F143" s="185"/>
      <c r="G143" s="186"/>
      <c r="H143" s="185"/>
      <c r="I143" s="185"/>
      <c r="J143" s="752"/>
      <c r="K143" s="752"/>
      <c r="L143" s="185"/>
      <c r="M143" s="185"/>
      <c r="N143" s="185"/>
      <c r="O143" s="185"/>
      <c r="P143" s="185"/>
      <c r="Q143" s="185"/>
      <c r="R143" s="185"/>
      <c r="S143" s="185"/>
      <c r="T143" s="185"/>
      <c r="U143" s="185"/>
    </row>
    <row r="144" spans="1:21">
      <c r="A144" s="185"/>
      <c r="B144" s="661"/>
      <c r="C144" s="185"/>
      <c r="D144" s="185"/>
      <c r="E144" s="185"/>
      <c r="F144" s="185"/>
      <c r="G144" s="186"/>
      <c r="H144" s="185"/>
      <c r="I144" s="185"/>
      <c r="J144" s="752"/>
      <c r="K144" s="752"/>
      <c r="L144" s="185"/>
      <c r="M144" s="185"/>
      <c r="N144" s="185"/>
      <c r="O144" s="185"/>
      <c r="P144" s="185"/>
      <c r="Q144" s="185"/>
      <c r="R144" s="185"/>
      <c r="S144" s="185"/>
      <c r="T144" s="185"/>
      <c r="U144" s="185"/>
    </row>
    <row r="145" spans="1:21">
      <c r="A145" s="185"/>
      <c r="B145" s="661"/>
      <c r="C145" s="185"/>
      <c r="D145" s="185"/>
      <c r="E145" s="185"/>
      <c r="F145" s="185"/>
      <c r="G145" s="186"/>
      <c r="H145" s="185"/>
      <c r="I145" s="185"/>
      <c r="J145" s="752"/>
      <c r="K145" s="752"/>
      <c r="L145" s="185"/>
      <c r="M145" s="185"/>
      <c r="N145" s="185"/>
      <c r="O145" s="185"/>
      <c r="P145" s="185"/>
      <c r="Q145" s="185"/>
      <c r="R145" s="185"/>
      <c r="S145" s="185"/>
      <c r="T145" s="185"/>
      <c r="U145" s="185"/>
    </row>
    <row r="146" spans="1:21">
      <c r="A146" s="185"/>
      <c r="B146" s="661"/>
      <c r="C146" s="185"/>
      <c r="D146" s="185"/>
      <c r="E146" s="185"/>
      <c r="F146" s="185"/>
      <c r="G146" s="186"/>
      <c r="H146" s="185"/>
      <c r="I146" s="185"/>
      <c r="J146" s="752"/>
      <c r="K146" s="752"/>
      <c r="L146" s="185"/>
      <c r="M146" s="185"/>
      <c r="N146" s="185"/>
      <c r="O146" s="185"/>
      <c r="P146" s="185"/>
      <c r="Q146" s="185"/>
      <c r="R146" s="185"/>
      <c r="S146" s="185"/>
      <c r="T146" s="185"/>
      <c r="U146" s="185"/>
    </row>
    <row r="147" spans="1:21">
      <c r="A147" s="185"/>
      <c r="B147" s="661"/>
      <c r="C147" s="185"/>
      <c r="D147" s="185"/>
      <c r="E147" s="185"/>
      <c r="F147" s="185"/>
      <c r="G147" s="186"/>
      <c r="H147" s="185"/>
      <c r="I147" s="185"/>
      <c r="J147" s="752"/>
      <c r="K147" s="752"/>
      <c r="L147" s="185"/>
      <c r="M147" s="185"/>
      <c r="N147" s="185"/>
      <c r="O147" s="185"/>
      <c r="P147" s="185"/>
      <c r="Q147" s="185"/>
      <c r="R147" s="185"/>
      <c r="S147" s="185"/>
      <c r="T147" s="185"/>
      <c r="U147" s="185"/>
    </row>
    <row r="148" spans="1:21">
      <c r="A148" s="185"/>
      <c r="B148" s="661"/>
      <c r="C148" s="185"/>
      <c r="D148" s="185"/>
      <c r="E148" s="185"/>
      <c r="F148" s="185"/>
      <c r="G148" s="186"/>
      <c r="H148" s="185"/>
      <c r="I148" s="185"/>
      <c r="J148" s="752"/>
      <c r="K148" s="752"/>
      <c r="L148" s="185"/>
      <c r="M148" s="185"/>
      <c r="N148" s="185"/>
      <c r="O148" s="185"/>
      <c r="P148" s="185"/>
      <c r="Q148" s="185"/>
      <c r="R148" s="185"/>
      <c r="S148" s="185"/>
      <c r="T148" s="185"/>
      <c r="U148" s="185"/>
    </row>
    <row r="149" spans="1:21">
      <c r="A149" s="185"/>
      <c r="B149" s="661"/>
      <c r="C149" s="185"/>
      <c r="D149" s="185"/>
      <c r="E149" s="185"/>
      <c r="F149" s="185"/>
      <c r="G149" s="186"/>
      <c r="H149" s="185"/>
      <c r="I149" s="185"/>
      <c r="J149" s="752"/>
      <c r="K149" s="752"/>
      <c r="L149" s="185"/>
      <c r="M149" s="185"/>
      <c r="N149" s="185"/>
      <c r="O149" s="185"/>
      <c r="P149" s="185"/>
      <c r="Q149" s="185"/>
      <c r="R149" s="185"/>
      <c r="S149" s="185"/>
      <c r="T149" s="185"/>
      <c r="U149" s="185"/>
    </row>
    <row r="150" spans="1:21">
      <c r="A150" s="185"/>
      <c r="B150" s="661"/>
      <c r="C150" s="185"/>
      <c r="D150" s="185"/>
      <c r="E150" s="185"/>
      <c r="F150" s="185"/>
      <c r="G150" s="186"/>
      <c r="H150" s="185"/>
      <c r="I150" s="185"/>
      <c r="J150" s="752"/>
      <c r="K150" s="752"/>
      <c r="L150" s="185"/>
      <c r="M150" s="185"/>
      <c r="N150" s="185"/>
      <c r="O150" s="185"/>
      <c r="P150" s="185"/>
      <c r="Q150" s="185"/>
      <c r="R150" s="185"/>
      <c r="S150" s="185"/>
      <c r="T150" s="185"/>
      <c r="U150" s="185"/>
    </row>
    <row r="151" spans="1:21">
      <c r="A151" s="185"/>
      <c r="B151" s="661"/>
      <c r="C151" s="185"/>
      <c r="D151" s="185"/>
      <c r="E151" s="185"/>
      <c r="F151" s="185"/>
      <c r="G151" s="186"/>
      <c r="H151" s="185"/>
      <c r="I151" s="185"/>
      <c r="J151" s="752"/>
      <c r="K151" s="752"/>
      <c r="L151" s="185"/>
      <c r="M151" s="185"/>
      <c r="N151" s="185"/>
      <c r="O151" s="185"/>
      <c r="P151" s="185"/>
      <c r="Q151" s="185"/>
      <c r="R151" s="185"/>
      <c r="S151" s="185"/>
      <c r="T151" s="185"/>
      <c r="U151" s="185"/>
    </row>
    <row r="152" spans="1:21">
      <c r="A152" s="185"/>
      <c r="B152" s="661"/>
      <c r="C152" s="185"/>
      <c r="D152" s="185"/>
      <c r="E152" s="185"/>
      <c r="F152" s="185"/>
      <c r="G152" s="186"/>
      <c r="H152" s="185"/>
      <c r="I152" s="185"/>
      <c r="J152" s="752"/>
      <c r="K152" s="752"/>
      <c r="L152" s="185"/>
      <c r="M152" s="185"/>
      <c r="N152" s="185"/>
      <c r="O152" s="185"/>
      <c r="P152" s="185"/>
      <c r="Q152" s="185"/>
      <c r="R152" s="185"/>
      <c r="S152" s="185"/>
      <c r="T152" s="185"/>
      <c r="U152" s="185"/>
    </row>
    <row r="153" spans="1:21">
      <c r="A153" s="185"/>
      <c r="B153" s="661"/>
      <c r="C153" s="185"/>
      <c r="D153" s="185"/>
      <c r="E153" s="185"/>
      <c r="F153" s="185"/>
      <c r="G153" s="186"/>
      <c r="H153" s="185"/>
      <c r="I153" s="185"/>
      <c r="J153" s="752"/>
      <c r="K153" s="752"/>
      <c r="L153" s="185"/>
      <c r="M153" s="185"/>
      <c r="N153" s="185"/>
      <c r="O153" s="185"/>
      <c r="P153" s="185"/>
      <c r="Q153" s="185"/>
      <c r="R153" s="185"/>
      <c r="S153" s="185"/>
      <c r="T153" s="185"/>
      <c r="U153" s="185"/>
    </row>
    <row r="154" spans="1:21">
      <c r="A154" s="185"/>
      <c r="B154" s="661"/>
      <c r="C154" s="185"/>
      <c r="D154" s="185"/>
      <c r="E154" s="185"/>
      <c r="F154" s="185"/>
      <c r="G154" s="186"/>
      <c r="H154" s="185"/>
      <c r="I154" s="185"/>
      <c r="J154" s="752"/>
      <c r="K154" s="752"/>
      <c r="L154" s="185"/>
      <c r="M154" s="185"/>
      <c r="N154" s="185"/>
      <c r="O154" s="185"/>
      <c r="P154" s="185"/>
      <c r="Q154" s="185"/>
      <c r="R154" s="185"/>
      <c r="S154" s="185"/>
      <c r="T154" s="185"/>
      <c r="U154" s="185"/>
    </row>
    <row r="155" spans="1:21">
      <c r="A155" s="185"/>
      <c r="B155" s="661"/>
      <c r="C155" s="185"/>
      <c r="D155" s="185"/>
      <c r="E155" s="185"/>
      <c r="F155" s="185"/>
      <c r="G155" s="186"/>
      <c r="H155" s="185"/>
      <c r="I155" s="185"/>
      <c r="J155" s="752"/>
      <c r="K155" s="752"/>
      <c r="L155" s="185"/>
      <c r="M155" s="185"/>
      <c r="N155" s="185"/>
      <c r="O155" s="185"/>
      <c r="P155" s="185"/>
      <c r="Q155" s="185"/>
      <c r="R155" s="185"/>
      <c r="S155" s="185"/>
      <c r="T155" s="185"/>
      <c r="U155" s="185"/>
    </row>
    <row r="156" spans="1:21">
      <c r="A156" s="185"/>
      <c r="B156" s="661"/>
      <c r="C156" s="185"/>
      <c r="D156" s="185"/>
      <c r="E156" s="185"/>
      <c r="F156" s="185"/>
      <c r="G156" s="186"/>
      <c r="H156" s="185"/>
      <c r="I156" s="185"/>
      <c r="J156" s="752"/>
      <c r="K156" s="752"/>
      <c r="L156" s="185"/>
      <c r="M156" s="185"/>
      <c r="N156" s="185"/>
      <c r="O156" s="185"/>
      <c r="P156" s="185"/>
      <c r="Q156" s="185"/>
      <c r="R156" s="185"/>
      <c r="S156" s="185"/>
      <c r="T156" s="185"/>
      <c r="U156" s="185"/>
    </row>
    <row r="157" spans="1:21">
      <c r="A157" s="185"/>
      <c r="B157" s="661"/>
      <c r="C157" s="185"/>
      <c r="D157" s="185"/>
      <c r="E157" s="185"/>
      <c r="F157" s="185"/>
      <c r="G157" s="186"/>
      <c r="H157" s="185"/>
      <c r="I157" s="185"/>
      <c r="J157" s="752"/>
      <c r="K157" s="752"/>
      <c r="L157" s="185"/>
      <c r="M157" s="185"/>
      <c r="N157" s="185"/>
      <c r="O157" s="185"/>
      <c r="P157" s="185"/>
      <c r="Q157" s="185"/>
      <c r="R157" s="185"/>
      <c r="S157" s="185"/>
      <c r="T157" s="185"/>
      <c r="U157" s="185"/>
    </row>
    <row r="158" spans="1:21">
      <c r="A158" s="185"/>
      <c r="B158" s="661"/>
      <c r="C158" s="185"/>
      <c r="D158" s="185"/>
      <c r="E158" s="185"/>
      <c r="F158" s="185"/>
      <c r="G158" s="186"/>
      <c r="H158" s="185"/>
      <c r="I158" s="185"/>
      <c r="J158" s="752"/>
      <c r="K158" s="752"/>
      <c r="L158" s="185"/>
      <c r="M158" s="185"/>
      <c r="N158" s="185"/>
      <c r="O158" s="185"/>
      <c r="P158" s="185"/>
      <c r="Q158" s="185"/>
      <c r="R158" s="185"/>
      <c r="S158" s="185"/>
      <c r="T158" s="185"/>
      <c r="U158" s="185"/>
    </row>
    <row r="159" spans="1:21">
      <c r="A159" s="185"/>
      <c r="B159" s="661"/>
      <c r="C159" s="185"/>
      <c r="D159" s="185"/>
      <c r="E159" s="185"/>
      <c r="F159" s="185"/>
      <c r="G159" s="186"/>
      <c r="H159" s="185"/>
      <c r="I159" s="185"/>
      <c r="J159" s="752"/>
      <c r="K159" s="752"/>
      <c r="L159" s="185"/>
      <c r="M159" s="185"/>
      <c r="N159" s="185"/>
      <c r="O159" s="185"/>
      <c r="P159" s="185"/>
      <c r="Q159" s="185"/>
      <c r="R159" s="185"/>
      <c r="S159" s="185"/>
      <c r="T159" s="185"/>
      <c r="U159" s="185"/>
    </row>
    <row r="160" spans="1:21">
      <c r="A160" s="185"/>
      <c r="B160" s="661"/>
      <c r="C160" s="185"/>
      <c r="D160" s="185"/>
      <c r="E160" s="185"/>
      <c r="F160" s="185"/>
      <c r="G160" s="186"/>
      <c r="H160" s="185"/>
      <c r="I160" s="185"/>
      <c r="J160" s="752"/>
      <c r="K160" s="752"/>
      <c r="L160" s="185"/>
      <c r="M160" s="185"/>
      <c r="N160" s="185"/>
      <c r="O160" s="185"/>
      <c r="P160" s="185"/>
      <c r="Q160" s="185"/>
      <c r="R160" s="185"/>
      <c r="S160" s="185"/>
      <c r="T160" s="185"/>
      <c r="U160" s="185"/>
    </row>
    <row r="161" spans="1:21">
      <c r="A161" s="185"/>
      <c r="B161" s="661"/>
      <c r="C161" s="185"/>
      <c r="D161" s="185"/>
      <c r="E161" s="185"/>
      <c r="F161" s="185"/>
      <c r="G161" s="186"/>
      <c r="H161" s="185"/>
      <c r="I161" s="185"/>
      <c r="J161" s="752"/>
      <c r="K161" s="752"/>
      <c r="L161" s="185"/>
      <c r="M161" s="185"/>
      <c r="N161" s="185"/>
      <c r="O161" s="185"/>
      <c r="P161" s="185"/>
      <c r="Q161" s="185"/>
      <c r="R161" s="185"/>
      <c r="S161" s="185"/>
      <c r="T161" s="185"/>
      <c r="U161" s="185"/>
    </row>
    <row r="162" spans="1:21">
      <c r="A162" s="185"/>
      <c r="B162" s="661"/>
      <c r="C162" s="185"/>
      <c r="D162" s="185"/>
      <c r="E162" s="185"/>
      <c r="F162" s="185"/>
      <c r="G162" s="186"/>
      <c r="H162" s="185"/>
      <c r="I162" s="185"/>
      <c r="J162" s="752"/>
      <c r="K162" s="752"/>
      <c r="L162" s="185"/>
      <c r="M162" s="185"/>
      <c r="N162" s="185"/>
      <c r="O162" s="185"/>
      <c r="P162" s="185"/>
      <c r="Q162" s="185"/>
      <c r="R162" s="185"/>
      <c r="S162" s="185"/>
      <c r="T162" s="185"/>
      <c r="U162" s="185"/>
    </row>
    <row r="163" spans="1:21">
      <c r="A163" s="185"/>
      <c r="B163" s="661"/>
      <c r="C163" s="185"/>
      <c r="D163" s="185"/>
      <c r="E163" s="185"/>
      <c r="F163" s="185"/>
      <c r="G163" s="186"/>
      <c r="H163" s="185"/>
      <c r="I163" s="185"/>
      <c r="J163" s="752"/>
      <c r="K163" s="752"/>
      <c r="L163" s="185"/>
      <c r="M163" s="185"/>
      <c r="N163" s="185"/>
      <c r="O163" s="185"/>
      <c r="P163" s="185"/>
      <c r="Q163" s="185"/>
      <c r="R163" s="185"/>
      <c r="S163" s="185"/>
      <c r="T163" s="185"/>
      <c r="U163" s="185"/>
    </row>
    <row r="164" spans="1:21">
      <c r="A164" s="185"/>
      <c r="B164" s="661"/>
      <c r="C164" s="185"/>
      <c r="D164" s="185"/>
      <c r="E164" s="185"/>
      <c r="F164" s="185"/>
      <c r="G164" s="186"/>
      <c r="H164" s="185"/>
      <c r="I164" s="185"/>
      <c r="J164" s="752"/>
      <c r="K164" s="752"/>
      <c r="L164" s="185"/>
      <c r="M164" s="185"/>
      <c r="N164" s="185"/>
      <c r="O164" s="185"/>
      <c r="P164" s="185"/>
      <c r="Q164" s="185"/>
      <c r="R164" s="185"/>
      <c r="S164" s="185"/>
      <c r="T164" s="185"/>
      <c r="U164" s="185"/>
    </row>
    <row r="165" spans="1:21">
      <c r="A165" s="185"/>
      <c r="B165" s="661"/>
      <c r="C165" s="185"/>
      <c r="D165" s="185"/>
      <c r="E165" s="185"/>
      <c r="F165" s="185"/>
      <c r="G165" s="186"/>
      <c r="H165" s="185"/>
      <c r="I165" s="185"/>
      <c r="J165" s="752"/>
      <c r="K165" s="752"/>
      <c r="L165" s="185"/>
      <c r="M165" s="185"/>
      <c r="N165" s="185"/>
      <c r="O165" s="185"/>
      <c r="P165" s="185"/>
      <c r="Q165" s="185"/>
      <c r="R165" s="185"/>
      <c r="S165" s="185"/>
      <c r="T165" s="185"/>
      <c r="U165" s="185"/>
    </row>
    <row r="166" spans="1:21">
      <c r="A166" s="185"/>
      <c r="B166" s="661"/>
      <c r="C166" s="185"/>
      <c r="D166" s="185"/>
      <c r="E166" s="185"/>
      <c r="F166" s="185"/>
      <c r="G166" s="186"/>
      <c r="H166" s="185"/>
      <c r="I166" s="185"/>
      <c r="J166" s="752"/>
      <c r="K166" s="752"/>
      <c r="L166" s="185"/>
      <c r="M166" s="185"/>
      <c r="N166" s="185"/>
      <c r="O166" s="185"/>
      <c r="P166" s="185"/>
      <c r="Q166" s="185"/>
      <c r="R166" s="185"/>
      <c r="S166" s="185"/>
      <c r="T166" s="185"/>
      <c r="U166" s="185"/>
    </row>
    <row r="167" spans="1:21">
      <c r="A167" s="185"/>
      <c r="B167" s="661"/>
      <c r="C167" s="185"/>
      <c r="D167" s="185"/>
      <c r="E167" s="185"/>
      <c r="F167" s="185"/>
      <c r="G167" s="186"/>
      <c r="H167" s="185"/>
      <c r="I167" s="185"/>
      <c r="J167" s="752"/>
      <c r="K167" s="752"/>
      <c r="L167" s="185"/>
      <c r="M167" s="185"/>
      <c r="N167" s="185"/>
      <c r="O167" s="185"/>
      <c r="P167" s="185"/>
      <c r="Q167" s="185"/>
      <c r="R167" s="185"/>
      <c r="S167" s="185"/>
      <c r="T167" s="185"/>
      <c r="U167" s="185"/>
    </row>
    <row r="168" spans="1:21">
      <c r="A168" s="185"/>
      <c r="B168" s="661"/>
      <c r="C168" s="185"/>
      <c r="D168" s="185"/>
      <c r="E168" s="185"/>
      <c r="F168" s="185"/>
      <c r="G168" s="186"/>
      <c r="H168" s="185"/>
      <c r="I168" s="185"/>
      <c r="J168" s="752"/>
      <c r="K168" s="752"/>
      <c r="L168" s="185"/>
      <c r="M168" s="185"/>
      <c r="N168" s="185"/>
      <c r="O168" s="185"/>
      <c r="P168" s="185"/>
      <c r="Q168" s="185"/>
      <c r="R168" s="185"/>
      <c r="S168" s="185"/>
      <c r="T168" s="185"/>
      <c r="U168" s="185"/>
    </row>
    <row r="169" spans="1:21">
      <c r="A169" s="185"/>
      <c r="B169" s="661"/>
      <c r="C169" s="185"/>
      <c r="D169" s="185"/>
      <c r="E169" s="185"/>
      <c r="F169" s="185"/>
      <c r="G169" s="186"/>
      <c r="H169" s="185"/>
      <c r="I169" s="185"/>
      <c r="J169" s="752"/>
      <c r="K169" s="752"/>
      <c r="L169" s="185"/>
      <c r="M169" s="185"/>
      <c r="N169" s="185"/>
      <c r="O169" s="185"/>
      <c r="P169" s="185"/>
      <c r="Q169" s="185"/>
      <c r="R169" s="185"/>
      <c r="S169" s="185"/>
      <c r="T169" s="185"/>
      <c r="U169" s="185"/>
    </row>
    <row r="170" spans="1:21">
      <c r="A170" s="185"/>
      <c r="B170" s="661"/>
      <c r="C170" s="185"/>
      <c r="D170" s="185"/>
      <c r="E170" s="185"/>
      <c r="F170" s="185"/>
      <c r="G170" s="186"/>
      <c r="H170" s="185"/>
      <c r="I170" s="185"/>
      <c r="J170" s="752"/>
      <c r="K170" s="752"/>
      <c r="L170" s="185"/>
      <c r="M170" s="185"/>
      <c r="N170" s="185"/>
      <c r="O170" s="185"/>
      <c r="P170" s="185"/>
      <c r="Q170" s="185"/>
      <c r="R170" s="185"/>
      <c r="S170" s="185"/>
      <c r="T170" s="185"/>
      <c r="U170" s="185"/>
    </row>
    <row r="171" spans="1:21">
      <c r="A171" s="185"/>
      <c r="B171" s="661"/>
      <c r="C171" s="185"/>
      <c r="D171" s="185"/>
      <c r="E171" s="185"/>
      <c r="F171" s="185"/>
      <c r="G171" s="186"/>
      <c r="H171" s="185"/>
      <c r="I171" s="185"/>
      <c r="J171" s="752"/>
      <c r="K171" s="752"/>
      <c r="L171" s="185"/>
      <c r="M171" s="185"/>
      <c r="N171" s="185"/>
      <c r="O171" s="185"/>
      <c r="P171" s="185"/>
      <c r="Q171" s="185"/>
      <c r="R171" s="185"/>
      <c r="S171" s="185"/>
      <c r="T171" s="185"/>
      <c r="U171" s="185"/>
    </row>
    <row r="172" spans="1:21">
      <c r="A172" s="185"/>
      <c r="B172" s="661"/>
      <c r="C172" s="185"/>
      <c r="D172" s="185"/>
      <c r="E172" s="185"/>
      <c r="F172" s="185"/>
      <c r="G172" s="186"/>
      <c r="H172" s="185"/>
      <c r="I172" s="185"/>
      <c r="J172" s="752"/>
      <c r="K172" s="752"/>
      <c r="L172" s="185"/>
      <c r="M172" s="185"/>
      <c r="N172" s="185"/>
      <c r="O172" s="185"/>
      <c r="P172" s="185"/>
      <c r="Q172" s="185"/>
      <c r="R172" s="185"/>
      <c r="S172" s="185"/>
      <c r="T172" s="185"/>
      <c r="U172" s="185"/>
    </row>
    <row r="173" spans="1:21">
      <c r="A173" s="185"/>
      <c r="B173" s="661"/>
      <c r="C173" s="185"/>
      <c r="D173" s="185"/>
      <c r="E173" s="185"/>
      <c r="F173" s="185"/>
      <c r="G173" s="186"/>
      <c r="H173" s="185"/>
      <c r="I173" s="185"/>
      <c r="J173" s="752"/>
      <c r="K173" s="752"/>
      <c r="L173" s="185"/>
      <c r="M173" s="185"/>
      <c r="N173" s="185"/>
      <c r="O173" s="185"/>
      <c r="P173" s="185"/>
      <c r="Q173" s="185"/>
      <c r="R173" s="185"/>
      <c r="S173" s="185"/>
      <c r="T173" s="185"/>
      <c r="U173" s="185"/>
    </row>
    <row r="174" spans="1:21">
      <c r="A174" s="185"/>
      <c r="B174" s="661"/>
      <c r="C174" s="185"/>
      <c r="D174" s="185"/>
      <c r="E174" s="185"/>
      <c r="F174" s="185"/>
      <c r="G174" s="186"/>
      <c r="H174" s="185"/>
      <c r="I174" s="185"/>
      <c r="J174" s="752"/>
      <c r="K174" s="752"/>
      <c r="L174" s="185"/>
      <c r="M174" s="185"/>
      <c r="N174" s="185"/>
      <c r="O174" s="185"/>
      <c r="P174" s="185"/>
      <c r="Q174" s="185"/>
      <c r="R174" s="185"/>
      <c r="S174" s="185"/>
      <c r="T174" s="185"/>
      <c r="U174" s="185"/>
    </row>
    <row r="175" spans="1:21">
      <c r="A175" s="185"/>
      <c r="B175" s="661"/>
      <c r="C175" s="185"/>
      <c r="D175" s="185"/>
      <c r="E175" s="185"/>
      <c r="F175" s="185"/>
      <c r="G175" s="186"/>
      <c r="H175" s="185"/>
      <c r="I175" s="185"/>
      <c r="J175" s="752"/>
      <c r="K175" s="752"/>
      <c r="L175" s="185"/>
      <c r="M175" s="185"/>
      <c r="N175" s="185"/>
      <c r="O175" s="185"/>
      <c r="P175" s="185"/>
      <c r="Q175" s="185"/>
      <c r="R175" s="185"/>
      <c r="S175" s="185"/>
      <c r="T175" s="185"/>
      <c r="U175" s="185"/>
    </row>
    <row r="176" spans="1:21">
      <c r="A176" s="185"/>
      <c r="B176" s="661"/>
      <c r="C176" s="185"/>
      <c r="D176" s="185"/>
      <c r="E176" s="185"/>
      <c r="F176" s="185"/>
      <c r="G176" s="186"/>
      <c r="H176" s="185"/>
      <c r="I176" s="185"/>
      <c r="J176" s="752"/>
      <c r="K176" s="752"/>
      <c r="L176" s="185"/>
      <c r="M176" s="185"/>
      <c r="N176" s="185"/>
      <c r="O176" s="185"/>
      <c r="P176" s="185"/>
      <c r="Q176" s="185"/>
      <c r="R176" s="185"/>
      <c r="S176" s="185"/>
      <c r="T176" s="185"/>
      <c r="U176" s="185"/>
    </row>
    <row r="177" spans="1:21">
      <c r="A177" s="185"/>
      <c r="B177" s="661"/>
      <c r="C177" s="185"/>
      <c r="D177" s="185"/>
      <c r="E177" s="185"/>
      <c r="F177" s="185"/>
      <c r="G177" s="186"/>
      <c r="H177" s="185"/>
      <c r="I177" s="185"/>
      <c r="J177" s="752"/>
      <c r="K177" s="752"/>
      <c r="L177" s="185"/>
      <c r="M177" s="185"/>
      <c r="N177" s="185"/>
      <c r="O177" s="185"/>
      <c r="P177" s="185"/>
      <c r="Q177" s="185"/>
      <c r="R177" s="185"/>
      <c r="S177" s="185"/>
      <c r="T177" s="185"/>
      <c r="U177" s="185"/>
    </row>
    <row r="178" spans="1:21">
      <c r="A178" s="185"/>
      <c r="B178" s="661"/>
      <c r="C178" s="185"/>
      <c r="D178" s="185"/>
      <c r="E178" s="185"/>
      <c r="F178" s="185"/>
      <c r="G178" s="186"/>
      <c r="H178" s="185"/>
      <c r="I178" s="185"/>
      <c r="J178" s="752"/>
      <c r="K178" s="752"/>
      <c r="L178" s="185"/>
      <c r="M178" s="185"/>
      <c r="N178" s="185"/>
      <c r="O178" s="185"/>
      <c r="P178" s="185"/>
      <c r="Q178" s="185"/>
      <c r="R178" s="185"/>
      <c r="S178" s="185"/>
      <c r="T178" s="185"/>
      <c r="U178" s="185"/>
    </row>
    <row r="179" spans="1:21">
      <c r="A179" s="185"/>
      <c r="B179" s="661"/>
      <c r="C179" s="185"/>
      <c r="D179" s="185"/>
      <c r="E179" s="185"/>
      <c r="F179" s="185"/>
      <c r="G179" s="186"/>
      <c r="H179" s="185"/>
      <c r="I179" s="185"/>
      <c r="J179" s="752"/>
      <c r="K179" s="752"/>
      <c r="L179" s="185"/>
      <c r="M179" s="185"/>
      <c r="N179" s="185"/>
      <c r="O179" s="185"/>
      <c r="P179" s="185"/>
      <c r="Q179" s="185"/>
      <c r="R179" s="185"/>
      <c r="S179" s="185"/>
      <c r="T179" s="185"/>
      <c r="U179" s="185"/>
    </row>
    <row r="180" spans="1:21">
      <c r="A180" s="185"/>
      <c r="B180" s="661"/>
      <c r="C180" s="185"/>
      <c r="D180" s="185"/>
      <c r="E180" s="185"/>
      <c r="F180" s="185"/>
      <c r="G180" s="186"/>
      <c r="H180" s="185"/>
      <c r="I180" s="185"/>
      <c r="J180" s="752"/>
      <c r="K180" s="752"/>
      <c r="L180" s="185"/>
      <c r="M180" s="185"/>
      <c r="N180" s="185"/>
      <c r="O180" s="185"/>
      <c r="P180" s="185"/>
      <c r="Q180" s="185"/>
      <c r="R180" s="185"/>
      <c r="S180" s="185"/>
      <c r="T180" s="185"/>
      <c r="U180" s="185"/>
    </row>
    <row r="181" spans="1:21">
      <c r="A181" s="185"/>
      <c r="B181" s="661"/>
      <c r="C181" s="185"/>
      <c r="D181" s="185"/>
      <c r="E181" s="185"/>
      <c r="F181" s="185"/>
      <c r="G181" s="186"/>
      <c r="H181" s="185"/>
      <c r="I181" s="185"/>
      <c r="J181" s="752"/>
      <c r="K181" s="752"/>
      <c r="L181" s="185"/>
      <c r="M181" s="185"/>
      <c r="N181" s="185"/>
      <c r="O181" s="185"/>
      <c r="P181" s="185"/>
      <c r="Q181" s="185"/>
      <c r="R181" s="185"/>
      <c r="S181" s="185"/>
      <c r="T181" s="185"/>
      <c r="U181" s="185"/>
    </row>
    <row r="182" spans="1:21">
      <c r="A182" s="185"/>
      <c r="B182" s="661"/>
      <c r="C182" s="185"/>
      <c r="D182" s="185"/>
      <c r="E182" s="185"/>
      <c r="F182" s="185"/>
      <c r="G182" s="186"/>
      <c r="H182" s="185"/>
      <c r="I182" s="185"/>
      <c r="J182" s="752"/>
      <c r="K182" s="752"/>
      <c r="L182" s="185"/>
      <c r="M182" s="185"/>
      <c r="N182" s="185"/>
      <c r="O182" s="185"/>
      <c r="P182" s="185"/>
      <c r="Q182" s="185"/>
      <c r="R182" s="185"/>
      <c r="S182" s="185"/>
      <c r="T182" s="185"/>
      <c r="U182" s="185"/>
    </row>
    <row r="183" spans="1:21">
      <c r="A183" s="185"/>
      <c r="B183" s="661"/>
      <c r="C183" s="185"/>
      <c r="D183" s="185"/>
      <c r="E183" s="185"/>
      <c r="F183" s="185"/>
      <c r="G183" s="186"/>
      <c r="H183" s="185"/>
      <c r="I183" s="185"/>
      <c r="J183" s="752"/>
      <c r="K183" s="752"/>
      <c r="L183" s="185"/>
      <c r="M183" s="185"/>
      <c r="N183" s="185"/>
      <c r="O183" s="185"/>
      <c r="P183" s="185"/>
      <c r="Q183" s="185"/>
      <c r="R183" s="185"/>
      <c r="S183" s="185"/>
      <c r="T183" s="185"/>
      <c r="U183" s="185"/>
    </row>
    <row r="184" spans="1:21">
      <c r="A184" s="185"/>
      <c r="B184" s="661"/>
      <c r="C184" s="185"/>
      <c r="D184" s="185"/>
      <c r="E184" s="185"/>
      <c r="F184" s="185"/>
      <c r="G184" s="186"/>
      <c r="H184" s="185"/>
      <c r="I184" s="185"/>
      <c r="J184" s="752"/>
      <c r="K184" s="752"/>
      <c r="L184" s="185"/>
      <c r="M184" s="185"/>
      <c r="N184" s="185"/>
      <c r="O184" s="185"/>
      <c r="P184" s="185"/>
      <c r="Q184" s="185"/>
      <c r="R184" s="185"/>
      <c r="S184" s="185"/>
      <c r="T184" s="185"/>
      <c r="U184" s="185"/>
    </row>
    <row r="185" spans="1:21">
      <c r="A185" s="185"/>
      <c r="B185" s="661"/>
      <c r="C185" s="185"/>
      <c r="D185" s="185"/>
      <c r="E185" s="185"/>
      <c r="F185" s="185"/>
      <c r="G185" s="186"/>
      <c r="H185" s="185"/>
      <c r="I185" s="185"/>
      <c r="J185" s="752"/>
      <c r="K185" s="752"/>
      <c r="L185" s="185"/>
      <c r="M185" s="185"/>
      <c r="N185" s="185"/>
      <c r="O185" s="185"/>
      <c r="P185" s="185"/>
      <c r="Q185" s="185"/>
      <c r="R185" s="185"/>
      <c r="S185" s="185"/>
      <c r="T185" s="185"/>
      <c r="U185" s="185"/>
    </row>
    <row r="186" spans="1:21">
      <c r="A186" s="185"/>
      <c r="B186" s="661"/>
      <c r="C186" s="185"/>
      <c r="D186" s="185"/>
      <c r="E186" s="185"/>
      <c r="F186" s="185"/>
      <c r="G186" s="186"/>
      <c r="H186" s="185"/>
      <c r="I186" s="185"/>
      <c r="J186" s="752"/>
      <c r="K186" s="752"/>
      <c r="L186" s="185"/>
      <c r="M186" s="185"/>
      <c r="N186" s="185"/>
      <c r="O186" s="185"/>
      <c r="P186" s="185"/>
      <c r="Q186" s="185"/>
      <c r="R186" s="185"/>
      <c r="S186" s="185"/>
      <c r="T186" s="185"/>
      <c r="U186" s="185"/>
    </row>
    <row r="187" spans="1:21">
      <c r="A187" s="185"/>
      <c r="B187" s="661"/>
      <c r="C187" s="185"/>
      <c r="D187" s="185"/>
      <c r="E187" s="185"/>
      <c r="F187" s="185"/>
      <c r="G187" s="186"/>
      <c r="H187" s="185"/>
      <c r="I187" s="185"/>
      <c r="J187" s="752"/>
      <c r="K187" s="752"/>
      <c r="L187" s="185"/>
      <c r="M187" s="185"/>
      <c r="N187" s="185"/>
      <c r="O187" s="185"/>
      <c r="P187" s="185"/>
      <c r="Q187" s="185"/>
      <c r="R187" s="185"/>
      <c r="S187" s="185"/>
      <c r="T187" s="185"/>
      <c r="U187" s="185"/>
    </row>
    <row r="188" spans="1:21">
      <c r="A188" s="185"/>
      <c r="B188" s="661"/>
      <c r="C188" s="185"/>
      <c r="D188" s="185"/>
      <c r="E188" s="185"/>
      <c r="F188" s="185"/>
      <c r="G188" s="186"/>
      <c r="H188" s="185"/>
      <c r="I188" s="185"/>
      <c r="J188" s="752"/>
      <c r="K188" s="752"/>
      <c r="L188" s="185"/>
      <c r="M188" s="185"/>
      <c r="N188" s="185"/>
      <c r="O188" s="185"/>
      <c r="P188" s="185"/>
      <c r="Q188" s="185"/>
      <c r="R188" s="185"/>
      <c r="S188" s="185"/>
      <c r="T188" s="185"/>
      <c r="U188" s="185"/>
    </row>
    <row r="189" spans="1:21">
      <c r="A189" s="185"/>
      <c r="B189" s="661"/>
      <c r="C189" s="185"/>
      <c r="D189" s="185"/>
      <c r="E189" s="185"/>
      <c r="F189" s="185"/>
      <c r="G189" s="186"/>
      <c r="H189" s="185"/>
      <c r="I189" s="185"/>
      <c r="J189" s="752"/>
      <c r="K189" s="752"/>
      <c r="L189" s="185"/>
      <c r="M189" s="185"/>
      <c r="N189" s="185"/>
      <c r="O189" s="185"/>
      <c r="P189" s="185"/>
      <c r="Q189" s="185"/>
      <c r="R189" s="185"/>
      <c r="S189" s="185"/>
      <c r="T189" s="185"/>
      <c r="U189" s="185"/>
    </row>
    <row r="190" spans="1:21">
      <c r="A190" s="185"/>
      <c r="B190" s="661"/>
      <c r="C190" s="185"/>
      <c r="D190" s="185"/>
      <c r="E190" s="185"/>
      <c r="F190" s="185"/>
      <c r="G190" s="186"/>
      <c r="H190" s="185"/>
      <c r="I190" s="185"/>
      <c r="J190" s="752"/>
      <c r="K190" s="752"/>
      <c r="L190" s="185"/>
      <c r="M190" s="185"/>
      <c r="N190" s="185"/>
      <c r="O190" s="185"/>
      <c r="P190" s="185"/>
      <c r="Q190" s="185"/>
      <c r="R190" s="185"/>
      <c r="S190" s="185"/>
      <c r="T190" s="185"/>
      <c r="U190" s="185"/>
    </row>
    <row r="191" spans="1:21">
      <c r="A191" s="185"/>
      <c r="B191" s="661"/>
      <c r="C191" s="185"/>
      <c r="D191" s="185"/>
      <c r="E191" s="185"/>
      <c r="F191" s="185"/>
      <c r="G191" s="186"/>
      <c r="H191" s="185"/>
      <c r="I191" s="185"/>
      <c r="J191" s="752"/>
      <c r="K191" s="752"/>
      <c r="L191" s="185"/>
      <c r="M191" s="185"/>
      <c r="N191" s="185"/>
      <c r="O191" s="185"/>
      <c r="P191" s="185"/>
      <c r="Q191" s="185"/>
      <c r="R191" s="185"/>
      <c r="S191" s="185"/>
      <c r="T191" s="185"/>
      <c r="U191" s="185"/>
    </row>
    <row r="192" spans="1:21">
      <c r="A192" s="185"/>
      <c r="B192" s="661"/>
      <c r="C192" s="185"/>
      <c r="D192" s="185"/>
      <c r="E192" s="185"/>
      <c r="F192" s="185"/>
      <c r="G192" s="186"/>
      <c r="H192" s="185"/>
      <c r="I192" s="185"/>
      <c r="J192" s="752"/>
      <c r="K192" s="752"/>
      <c r="L192" s="185"/>
      <c r="M192" s="185"/>
      <c r="N192" s="185"/>
      <c r="O192" s="185"/>
      <c r="P192" s="185"/>
      <c r="Q192" s="185"/>
      <c r="R192" s="185"/>
      <c r="S192" s="185"/>
      <c r="T192" s="185"/>
      <c r="U192" s="185"/>
    </row>
    <row r="193" spans="1:21">
      <c r="A193" s="185"/>
      <c r="B193" s="661"/>
      <c r="C193" s="185"/>
      <c r="D193" s="185"/>
      <c r="E193" s="185"/>
      <c r="F193" s="185"/>
      <c r="G193" s="186"/>
      <c r="H193" s="185"/>
      <c r="I193" s="185"/>
      <c r="J193" s="752"/>
      <c r="K193" s="752"/>
      <c r="L193" s="185"/>
      <c r="M193" s="185"/>
      <c r="N193" s="185"/>
      <c r="O193" s="185"/>
      <c r="P193" s="185"/>
      <c r="Q193" s="185"/>
      <c r="R193" s="185"/>
      <c r="S193" s="185"/>
      <c r="T193" s="185"/>
      <c r="U193" s="185"/>
    </row>
    <row r="194" spans="1:21">
      <c r="A194" s="185"/>
      <c r="B194" s="661"/>
      <c r="C194" s="185"/>
      <c r="D194" s="185"/>
      <c r="E194" s="185"/>
      <c r="F194" s="185"/>
      <c r="G194" s="186"/>
      <c r="H194" s="185"/>
      <c r="I194" s="185"/>
      <c r="J194" s="752"/>
      <c r="K194" s="752"/>
      <c r="L194" s="185"/>
      <c r="M194" s="185"/>
      <c r="N194" s="185"/>
      <c r="O194" s="185"/>
      <c r="P194" s="185"/>
      <c r="Q194" s="185"/>
      <c r="R194" s="185"/>
      <c r="S194" s="185"/>
      <c r="T194" s="185"/>
      <c r="U194" s="185"/>
    </row>
    <row r="195" spans="1:21">
      <c r="A195" s="185"/>
      <c r="B195" s="661"/>
      <c r="C195" s="185"/>
      <c r="D195" s="185"/>
      <c r="E195" s="185"/>
      <c r="F195" s="185"/>
      <c r="G195" s="186"/>
      <c r="H195" s="185"/>
      <c r="I195" s="185"/>
      <c r="J195" s="752"/>
      <c r="K195" s="752"/>
      <c r="L195" s="185"/>
      <c r="M195" s="185"/>
      <c r="N195" s="185"/>
      <c r="O195" s="185"/>
      <c r="P195" s="185"/>
      <c r="Q195" s="185"/>
      <c r="R195" s="185"/>
      <c r="S195" s="185"/>
      <c r="T195" s="185"/>
      <c r="U195" s="185"/>
    </row>
    <row r="196" spans="1:21">
      <c r="A196" s="185"/>
      <c r="B196" s="661"/>
      <c r="C196" s="185"/>
      <c r="D196" s="185"/>
      <c r="E196" s="185"/>
      <c r="F196" s="185"/>
      <c r="G196" s="186"/>
      <c r="H196" s="185"/>
      <c r="I196" s="185"/>
      <c r="J196" s="752"/>
      <c r="K196" s="752"/>
      <c r="L196" s="185"/>
      <c r="M196" s="185"/>
      <c r="N196" s="185"/>
      <c r="O196" s="185"/>
      <c r="P196" s="185"/>
      <c r="Q196" s="185"/>
      <c r="R196" s="185"/>
      <c r="S196" s="185"/>
      <c r="T196" s="185"/>
      <c r="U196" s="185"/>
    </row>
    <row r="197" spans="1:21">
      <c r="A197" s="185"/>
      <c r="B197" s="661"/>
      <c r="C197" s="185"/>
      <c r="D197" s="185"/>
      <c r="E197" s="185"/>
      <c r="F197" s="185"/>
      <c r="G197" s="186"/>
      <c r="H197" s="185"/>
      <c r="I197" s="185"/>
      <c r="J197" s="752"/>
      <c r="K197" s="752"/>
      <c r="L197" s="185"/>
      <c r="M197" s="185"/>
      <c r="N197" s="185"/>
      <c r="O197" s="185"/>
      <c r="P197" s="185"/>
      <c r="Q197" s="185"/>
      <c r="R197" s="185"/>
      <c r="S197" s="185"/>
      <c r="T197" s="185"/>
      <c r="U197" s="185"/>
    </row>
    <row r="198" spans="1:21">
      <c r="A198" s="185"/>
      <c r="B198" s="661"/>
      <c r="C198" s="185"/>
      <c r="D198" s="185"/>
      <c r="E198" s="185"/>
      <c r="F198" s="185"/>
      <c r="G198" s="186"/>
      <c r="H198" s="185"/>
      <c r="I198" s="185"/>
      <c r="J198" s="752"/>
      <c r="K198" s="752"/>
      <c r="L198" s="185"/>
      <c r="M198" s="185"/>
      <c r="N198" s="185"/>
      <c r="O198" s="185"/>
      <c r="P198" s="185"/>
      <c r="Q198" s="185"/>
      <c r="R198" s="185"/>
      <c r="S198" s="185"/>
      <c r="T198" s="185"/>
      <c r="U198" s="185"/>
    </row>
    <row r="199" spans="1:21">
      <c r="A199" s="185"/>
      <c r="B199" s="661"/>
      <c r="C199" s="185"/>
      <c r="D199" s="185"/>
      <c r="E199" s="185"/>
      <c r="F199" s="185"/>
      <c r="G199" s="186"/>
      <c r="H199" s="185"/>
      <c r="I199" s="185"/>
      <c r="J199" s="752"/>
      <c r="K199" s="752"/>
      <c r="L199" s="185"/>
      <c r="M199" s="185"/>
      <c r="N199" s="185"/>
      <c r="O199" s="185"/>
      <c r="P199" s="185"/>
      <c r="Q199" s="185"/>
      <c r="R199" s="185"/>
      <c r="S199" s="185"/>
      <c r="T199" s="185"/>
      <c r="U199" s="185"/>
    </row>
    <row r="200" spans="1:21">
      <c r="A200" s="185"/>
      <c r="B200" s="661"/>
      <c r="C200" s="185"/>
      <c r="D200" s="185"/>
      <c r="E200" s="185"/>
      <c r="F200" s="185"/>
      <c r="G200" s="186"/>
      <c r="H200" s="185"/>
      <c r="I200" s="185"/>
      <c r="J200" s="752"/>
      <c r="K200" s="752"/>
      <c r="L200" s="185"/>
      <c r="M200" s="185"/>
      <c r="N200" s="185"/>
      <c r="O200" s="185"/>
      <c r="P200" s="185"/>
      <c r="Q200" s="185"/>
      <c r="R200" s="185"/>
      <c r="S200" s="185"/>
      <c r="T200" s="185"/>
      <c r="U200" s="185"/>
    </row>
    <row r="201" spans="1:21">
      <c r="A201" s="185"/>
      <c r="B201" s="661"/>
      <c r="C201" s="185"/>
      <c r="D201" s="185"/>
      <c r="E201" s="185"/>
      <c r="F201" s="185"/>
      <c r="G201" s="186"/>
      <c r="H201" s="185"/>
      <c r="I201" s="185"/>
      <c r="J201" s="752"/>
      <c r="K201" s="752"/>
      <c r="L201" s="185"/>
      <c r="M201" s="185"/>
      <c r="N201" s="185"/>
      <c r="O201" s="185"/>
      <c r="P201" s="185"/>
      <c r="Q201" s="185"/>
      <c r="R201" s="185"/>
      <c r="S201" s="185"/>
      <c r="T201" s="185"/>
      <c r="U201" s="185"/>
    </row>
    <row r="202" spans="1:21">
      <c r="A202" s="185"/>
      <c r="B202" s="661"/>
      <c r="C202" s="185"/>
      <c r="D202" s="185"/>
      <c r="E202" s="185"/>
      <c r="F202" s="185"/>
      <c r="G202" s="186"/>
      <c r="H202" s="185"/>
      <c r="I202" s="185"/>
      <c r="J202" s="752"/>
      <c r="K202" s="752"/>
      <c r="L202" s="185"/>
      <c r="M202" s="185"/>
      <c r="N202" s="185"/>
      <c r="O202" s="185"/>
      <c r="P202" s="185"/>
      <c r="Q202" s="185"/>
      <c r="R202" s="185"/>
      <c r="S202" s="185"/>
      <c r="T202" s="185"/>
      <c r="U202" s="185"/>
    </row>
    <row r="203" spans="1:21">
      <c r="A203" s="185"/>
      <c r="B203" s="661"/>
      <c r="C203" s="185"/>
      <c r="D203" s="185"/>
      <c r="E203" s="185"/>
      <c r="F203" s="185"/>
      <c r="G203" s="186"/>
      <c r="H203" s="185"/>
      <c r="I203" s="185"/>
      <c r="J203" s="752"/>
      <c r="K203" s="752"/>
      <c r="L203" s="185"/>
      <c r="M203" s="185"/>
      <c r="N203" s="185"/>
      <c r="O203" s="185"/>
      <c r="P203" s="185"/>
      <c r="Q203" s="185"/>
      <c r="R203" s="185"/>
      <c r="S203" s="185"/>
      <c r="T203" s="185"/>
      <c r="U203" s="185"/>
    </row>
    <row r="204" spans="1:21">
      <c r="A204" s="185"/>
      <c r="B204" s="661"/>
      <c r="C204" s="185"/>
      <c r="D204" s="185"/>
      <c r="E204" s="185"/>
      <c r="F204" s="185"/>
      <c r="G204" s="186"/>
      <c r="H204" s="185"/>
      <c r="I204" s="185"/>
      <c r="J204" s="752"/>
      <c r="K204" s="752"/>
      <c r="L204" s="185"/>
      <c r="M204" s="185"/>
      <c r="N204" s="185"/>
      <c r="O204" s="185"/>
      <c r="P204" s="185"/>
      <c r="Q204" s="185"/>
      <c r="R204" s="185"/>
      <c r="S204" s="185"/>
      <c r="T204" s="185"/>
      <c r="U204" s="185"/>
    </row>
    <row r="205" spans="1:21">
      <c r="A205" s="185"/>
      <c r="B205" s="661"/>
      <c r="C205" s="185"/>
      <c r="D205" s="185"/>
      <c r="E205" s="185"/>
      <c r="F205" s="185"/>
      <c r="G205" s="186"/>
      <c r="H205" s="185"/>
      <c r="I205" s="185"/>
      <c r="J205" s="752"/>
      <c r="K205" s="752"/>
      <c r="L205" s="185"/>
      <c r="M205" s="185"/>
      <c r="N205" s="185"/>
      <c r="O205" s="185"/>
      <c r="P205" s="185"/>
      <c r="Q205" s="185"/>
      <c r="R205" s="185"/>
      <c r="S205" s="185"/>
      <c r="T205" s="185"/>
      <c r="U205" s="185"/>
    </row>
    <row r="206" spans="1:21">
      <c r="A206" s="185"/>
      <c r="B206" s="661"/>
      <c r="C206" s="185"/>
      <c r="D206" s="185"/>
      <c r="E206" s="185"/>
      <c r="F206" s="185"/>
      <c r="G206" s="186"/>
      <c r="H206" s="185"/>
      <c r="I206" s="185"/>
      <c r="J206" s="752"/>
      <c r="K206" s="752"/>
      <c r="L206" s="185"/>
      <c r="M206" s="185"/>
      <c r="N206" s="185"/>
      <c r="O206" s="185"/>
      <c r="P206" s="185"/>
      <c r="Q206" s="185"/>
      <c r="R206" s="185"/>
      <c r="S206" s="185"/>
      <c r="T206" s="185"/>
      <c r="U206" s="185"/>
    </row>
    <row r="207" spans="1:21">
      <c r="A207" s="185"/>
      <c r="B207" s="661"/>
      <c r="C207" s="185"/>
      <c r="D207" s="185"/>
      <c r="E207" s="185"/>
      <c r="F207" s="185"/>
      <c r="G207" s="186"/>
      <c r="H207" s="185"/>
      <c r="I207" s="185"/>
      <c r="J207" s="752"/>
      <c r="K207" s="752"/>
      <c r="L207" s="185"/>
      <c r="M207" s="185"/>
      <c r="N207" s="185"/>
      <c r="O207" s="185"/>
      <c r="P207" s="185"/>
      <c r="Q207" s="185"/>
      <c r="R207" s="185"/>
      <c r="S207" s="185"/>
      <c r="T207" s="185"/>
      <c r="U207" s="185"/>
    </row>
    <row r="208" spans="1:21">
      <c r="A208" s="185"/>
      <c r="B208" s="661"/>
      <c r="C208" s="185"/>
      <c r="D208" s="185"/>
      <c r="E208" s="185"/>
      <c r="F208" s="185"/>
      <c r="G208" s="186"/>
      <c r="H208" s="185"/>
      <c r="I208" s="185"/>
      <c r="J208" s="752"/>
      <c r="K208" s="752"/>
      <c r="L208" s="185"/>
      <c r="M208" s="185"/>
      <c r="N208" s="185"/>
      <c r="O208" s="185"/>
      <c r="P208" s="185"/>
      <c r="Q208" s="185"/>
      <c r="R208" s="185"/>
      <c r="S208" s="185"/>
      <c r="T208" s="185"/>
      <c r="U208" s="185"/>
    </row>
    <row r="209" spans="1:21">
      <c r="A209" s="185"/>
      <c r="B209" s="661"/>
      <c r="C209" s="185"/>
      <c r="D209" s="185"/>
      <c r="E209" s="185"/>
      <c r="F209" s="185"/>
      <c r="G209" s="186"/>
      <c r="H209" s="185"/>
      <c r="I209" s="185"/>
      <c r="J209" s="752"/>
      <c r="K209" s="752"/>
      <c r="L209" s="185"/>
      <c r="M209" s="185"/>
      <c r="N209" s="185"/>
      <c r="O209" s="185"/>
      <c r="P209" s="185"/>
      <c r="Q209" s="185"/>
      <c r="R209" s="185"/>
      <c r="S209" s="185"/>
      <c r="T209" s="185"/>
      <c r="U209" s="185"/>
    </row>
    <row r="210" spans="1:21">
      <c r="A210" s="185"/>
      <c r="B210" s="661"/>
      <c r="C210" s="185"/>
      <c r="D210" s="185"/>
      <c r="E210" s="185"/>
      <c r="F210" s="185"/>
      <c r="G210" s="186"/>
      <c r="H210" s="185"/>
      <c r="I210" s="185"/>
      <c r="J210" s="752"/>
      <c r="K210" s="752"/>
      <c r="L210" s="185"/>
      <c r="M210" s="185"/>
      <c r="N210" s="185"/>
      <c r="O210" s="185"/>
      <c r="P210" s="185"/>
      <c r="Q210" s="185"/>
      <c r="R210" s="185"/>
      <c r="S210" s="185"/>
      <c r="T210" s="185"/>
      <c r="U210" s="185"/>
    </row>
    <row r="211" spans="1:21">
      <c r="A211" s="185"/>
      <c r="B211" s="661"/>
      <c r="C211" s="185"/>
      <c r="D211" s="185"/>
      <c r="E211" s="185"/>
      <c r="F211" s="185"/>
      <c r="G211" s="186"/>
      <c r="H211" s="185"/>
      <c r="I211" s="185"/>
      <c r="J211" s="752"/>
      <c r="K211" s="752"/>
      <c r="L211" s="185"/>
      <c r="M211" s="185"/>
      <c r="N211" s="185"/>
      <c r="O211" s="185"/>
      <c r="P211" s="185"/>
      <c r="Q211" s="185"/>
      <c r="R211" s="185"/>
      <c r="S211" s="185"/>
      <c r="T211" s="185"/>
      <c r="U211" s="185"/>
    </row>
    <row r="212" spans="1:21">
      <c r="A212" s="185"/>
      <c r="B212" s="661"/>
      <c r="C212" s="185"/>
      <c r="D212" s="185"/>
      <c r="E212" s="185"/>
      <c r="F212" s="185"/>
      <c r="G212" s="186"/>
      <c r="H212" s="185"/>
      <c r="I212" s="185"/>
      <c r="J212" s="752"/>
      <c r="K212" s="752"/>
      <c r="L212" s="185"/>
      <c r="M212" s="185"/>
      <c r="N212" s="185"/>
      <c r="O212" s="185"/>
      <c r="P212" s="185"/>
      <c r="Q212" s="185"/>
      <c r="R212" s="185"/>
      <c r="S212" s="185"/>
      <c r="T212" s="185"/>
      <c r="U212" s="185"/>
    </row>
    <row r="213" spans="1:21">
      <c r="A213" s="185"/>
      <c r="B213" s="661"/>
      <c r="C213" s="185"/>
      <c r="D213" s="185"/>
      <c r="E213" s="185"/>
      <c r="F213" s="185"/>
      <c r="G213" s="186"/>
      <c r="H213" s="185"/>
      <c r="I213" s="185"/>
      <c r="J213" s="752"/>
      <c r="K213" s="752"/>
      <c r="L213" s="185"/>
      <c r="M213" s="185"/>
      <c r="N213" s="185"/>
      <c r="O213" s="185"/>
      <c r="P213" s="185"/>
      <c r="Q213" s="185"/>
      <c r="R213" s="185"/>
      <c r="S213" s="185"/>
      <c r="T213" s="185"/>
      <c r="U213" s="185"/>
    </row>
    <row r="214" spans="1:21">
      <c r="A214" s="185"/>
      <c r="B214" s="661"/>
      <c r="C214" s="185"/>
      <c r="D214" s="185"/>
      <c r="E214" s="185"/>
      <c r="F214" s="185"/>
      <c r="G214" s="186"/>
      <c r="H214" s="185"/>
      <c r="I214" s="185"/>
      <c r="J214" s="752"/>
      <c r="K214" s="752"/>
      <c r="L214" s="185"/>
      <c r="M214" s="185"/>
      <c r="N214" s="185"/>
      <c r="O214" s="185"/>
      <c r="P214" s="185"/>
      <c r="Q214" s="185"/>
      <c r="R214" s="185"/>
      <c r="S214" s="185"/>
      <c r="T214" s="185"/>
      <c r="U214" s="185"/>
    </row>
    <row r="215" spans="1:21">
      <c r="A215" s="185"/>
      <c r="B215" s="661"/>
      <c r="C215" s="185"/>
      <c r="D215" s="185"/>
      <c r="E215" s="185"/>
      <c r="F215" s="185"/>
      <c r="G215" s="186"/>
      <c r="H215" s="185"/>
      <c r="I215" s="185"/>
      <c r="J215" s="752"/>
      <c r="K215" s="752"/>
      <c r="L215" s="185"/>
      <c r="M215" s="185"/>
      <c r="N215" s="185"/>
      <c r="O215" s="185"/>
      <c r="P215" s="185"/>
      <c r="Q215" s="185"/>
      <c r="R215" s="185"/>
      <c r="S215" s="185"/>
      <c r="T215" s="185"/>
      <c r="U215" s="185"/>
    </row>
    <row r="216" spans="1:21">
      <c r="A216" s="185"/>
      <c r="B216" s="661"/>
      <c r="C216" s="185"/>
      <c r="D216" s="185"/>
      <c r="E216" s="185"/>
      <c r="F216" s="185"/>
      <c r="G216" s="186"/>
      <c r="H216" s="185"/>
      <c r="I216" s="185"/>
      <c r="J216" s="752"/>
      <c r="K216" s="752"/>
      <c r="L216" s="185"/>
      <c r="M216" s="185"/>
      <c r="N216" s="185"/>
      <c r="O216" s="185"/>
      <c r="P216" s="185"/>
      <c r="Q216" s="185"/>
      <c r="R216" s="185"/>
      <c r="S216" s="185"/>
      <c r="T216" s="185"/>
      <c r="U216" s="185"/>
    </row>
    <row r="217" spans="1:21">
      <c r="A217" s="185"/>
      <c r="B217" s="661"/>
      <c r="C217" s="185"/>
      <c r="D217" s="185"/>
      <c r="E217" s="185"/>
      <c r="F217" s="185"/>
      <c r="G217" s="186"/>
      <c r="H217" s="185"/>
      <c r="I217" s="185"/>
      <c r="J217" s="752"/>
      <c r="K217" s="752"/>
      <c r="L217" s="185"/>
      <c r="M217" s="185"/>
      <c r="N217" s="185"/>
      <c r="O217" s="185"/>
      <c r="P217" s="185"/>
      <c r="Q217" s="185"/>
      <c r="R217" s="185"/>
      <c r="S217" s="185"/>
      <c r="T217" s="185"/>
      <c r="U217" s="185"/>
    </row>
    <row r="218" spans="1:21">
      <c r="A218" s="185"/>
      <c r="B218" s="661"/>
      <c r="C218" s="185"/>
      <c r="D218" s="185"/>
      <c r="E218" s="185"/>
      <c r="F218" s="185"/>
      <c r="G218" s="186"/>
      <c r="H218" s="185"/>
      <c r="I218" s="185"/>
      <c r="J218" s="752"/>
      <c r="K218" s="752"/>
      <c r="L218" s="185"/>
      <c r="M218" s="185"/>
      <c r="N218" s="185"/>
      <c r="O218" s="185"/>
      <c r="P218" s="185"/>
      <c r="Q218" s="185"/>
      <c r="R218" s="185"/>
      <c r="S218" s="185"/>
      <c r="T218" s="185"/>
      <c r="U218" s="185"/>
    </row>
    <row r="219" spans="1:21">
      <c r="A219" s="185"/>
      <c r="B219" s="661"/>
      <c r="C219" s="185"/>
      <c r="D219" s="185"/>
      <c r="E219" s="185"/>
      <c r="F219" s="185"/>
      <c r="G219" s="186"/>
      <c r="H219" s="185"/>
      <c r="I219" s="185"/>
      <c r="J219" s="752"/>
      <c r="K219" s="752"/>
      <c r="L219" s="185"/>
      <c r="M219" s="185"/>
      <c r="N219" s="185"/>
      <c r="O219" s="185"/>
      <c r="P219" s="185"/>
      <c r="Q219" s="185"/>
      <c r="R219" s="185"/>
      <c r="S219" s="185"/>
      <c r="T219" s="185"/>
      <c r="U219" s="185"/>
    </row>
    <row r="220" spans="1:21">
      <c r="A220" s="185"/>
      <c r="B220" s="661"/>
      <c r="C220" s="185"/>
      <c r="D220" s="185"/>
      <c r="E220" s="185"/>
      <c r="F220" s="185"/>
      <c r="G220" s="186"/>
      <c r="H220" s="185"/>
      <c r="I220" s="185"/>
      <c r="J220" s="752"/>
      <c r="K220" s="752"/>
      <c r="L220" s="185"/>
      <c r="M220" s="185"/>
      <c r="N220" s="185"/>
      <c r="O220" s="185"/>
      <c r="P220" s="185"/>
      <c r="Q220" s="185"/>
      <c r="R220" s="185"/>
      <c r="S220" s="185"/>
      <c r="T220" s="185"/>
      <c r="U220" s="185"/>
    </row>
    <row r="221" spans="1:21">
      <c r="A221" s="185"/>
      <c r="B221" s="661"/>
      <c r="C221" s="185"/>
      <c r="D221" s="185"/>
      <c r="E221" s="185"/>
      <c r="F221" s="185"/>
      <c r="G221" s="186"/>
      <c r="H221" s="185"/>
      <c r="I221" s="185"/>
      <c r="J221" s="752"/>
      <c r="K221" s="752"/>
      <c r="L221" s="185"/>
      <c r="M221" s="185"/>
      <c r="N221" s="185"/>
      <c r="O221" s="185"/>
      <c r="P221" s="185"/>
      <c r="Q221" s="185"/>
      <c r="R221" s="185"/>
      <c r="S221" s="185"/>
      <c r="T221" s="185"/>
      <c r="U221" s="185"/>
    </row>
    <row r="222" spans="1:21">
      <c r="A222" s="185"/>
      <c r="B222" s="661"/>
      <c r="C222" s="185"/>
      <c r="D222" s="185"/>
      <c r="E222" s="185"/>
      <c r="F222" s="185"/>
      <c r="G222" s="186"/>
      <c r="H222" s="185"/>
      <c r="I222" s="185"/>
      <c r="J222" s="752"/>
      <c r="K222" s="752"/>
      <c r="L222" s="185"/>
      <c r="M222" s="185"/>
      <c r="N222" s="185"/>
      <c r="O222" s="185"/>
      <c r="P222" s="185"/>
      <c r="Q222" s="185"/>
      <c r="R222" s="185"/>
      <c r="S222" s="185"/>
      <c r="T222" s="185"/>
      <c r="U222" s="185"/>
    </row>
    <row r="223" spans="1:21">
      <c r="A223" s="185"/>
      <c r="B223" s="661"/>
      <c r="C223" s="185"/>
      <c r="D223" s="185"/>
      <c r="E223" s="185"/>
      <c r="F223" s="185"/>
      <c r="G223" s="186"/>
      <c r="H223" s="185"/>
      <c r="I223" s="185"/>
      <c r="J223" s="752"/>
      <c r="K223" s="752"/>
      <c r="L223" s="185"/>
      <c r="M223" s="185"/>
      <c r="N223" s="185"/>
      <c r="O223" s="185"/>
      <c r="P223" s="185"/>
      <c r="Q223" s="185"/>
      <c r="R223" s="185"/>
      <c r="S223" s="185"/>
      <c r="T223" s="185"/>
      <c r="U223" s="185"/>
    </row>
    <row r="224" spans="1:21">
      <c r="A224" s="185"/>
      <c r="B224" s="661"/>
      <c r="C224" s="185"/>
      <c r="D224" s="185"/>
      <c r="E224" s="185"/>
      <c r="F224" s="185"/>
      <c r="G224" s="186"/>
      <c r="H224" s="185"/>
      <c r="I224" s="185"/>
      <c r="J224" s="752"/>
      <c r="K224" s="752"/>
      <c r="L224" s="185"/>
      <c r="M224" s="185"/>
      <c r="N224" s="185"/>
      <c r="O224" s="185"/>
      <c r="P224" s="185"/>
      <c r="Q224" s="185"/>
      <c r="R224" s="185"/>
      <c r="S224" s="185"/>
      <c r="T224" s="185"/>
      <c r="U224" s="185"/>
    </row>
    <row r="225" spans="1:21">
      <c r="A225" s="185"/>
      <c r="B225" s="661"/>
      <c r="C225" s="185"/>
      <c r="D225" s="185"/>
      <c r="E225" s="185"/>
      <c r="F225" s="185"/>
      <c r="G225" s="186"/>
      <c r="H225" s="185"/>
      <c r="I225" s="185"/>
      <c r="J225" s="752"/>
      <c r="K225" s="752"/>
      <c r="L225" s="185"/>
      <c r="M225" s="185"/>
      <c r="N225" s="185"/>
      <c r="O225" s="185"/>
      <c r="P225" s="185"/>
      <c r="Q225" s="185"/>
      <c r="R225" s="185"/>
      <c r="S225" s="185"/>
      <c r="T225" s="185"/>
      <c r="U225" s="185"/>
    </row>
    <row r="226" spans="1:21">
      <c r="A226" s="185"/>
      <c r="B226" s="661"/>
      <c r="C226" s="185"/>
      <c r="D226" s="185"/>
      <c r="E226" s="185"/>
      <c r="F226" s="185"/>
      <c r="G226" s="186"/>
      <c r="H226" s="185"/>
      <c r="I226" s="185"/>
      <c r="J226" s="752"/>
      <c r="K226" s="752"/>
      <c r="L226" s="185"/>
      <c r="M226" s="185"/>
      <c r="N226" s="185"/>
      <c r="O226" s="185"/>
      <c r="P226" s="185"/>
      <c r="Q226" s="185"/>
      <c r="R226" s="185"/>
      <c r="S226" s="185"/>
      <c r="T226" s="185"/>
      <c r="U226" s="185"/>
    </row>
    <row r="227" spans="1:21">
      <c r="A227" s="185"/>
      <c r="B227" s="661"/>
      <c r="C227" s="185"/>
      <c r="D227" s="185"/>
      <c r="E227" s="185"/>
      <c r="F227" s="185"/>
      <c r="G227" s="186"/>
      <c r="H227" s="185"/>
      <c r="I227" s="185"/>
      <c r="J227" s="752"/>
      <c r="K227" s="752"/>
      <c r="L227" s="185"/>
      <c r="M227" s="185"/>
      <c r="N227" s="185"/>
      <c r="O227" s="185"/>
      <c r="P227" s="185"/>
      <c r="Q227" s="185"/>
      <c r="R227" s="185"/>
      <c r="S227" s="185"/>
      <c r="T227" s="185"/>
      <c r="U227" s="185"/>
    </row>
    <row r="228" spans="1:21">
      <c r="A228" s="185"/>
      <c r="B228" s="661"/>
      <c r="C228" s="185"/>
      <c r="D228" s="185"/>
      <c r="E228" s="185"/>
      <c r="F228" s="185"/>
      <c r="G228" s="186"/>
      <c r="H228" s="185"/>
      <c r="I228" s="185"/>
      <c r="J228" s="752"/>
      <c r="K228" s="752"/>
      <c r="L228" s="185"/>
      <c r="M228" s="185"/>
      <c r="N228" s="185"/>
      <c r="O228" s="185"/>
      <c r="P228" s="185"/>
      <c r="Q228" s="185"/>
      <c r="R228" s="185"/>
      <c r="S228" s="185"/>
      <c r="T228" s="185"/>
      <c r="U228" s="185"/>
    </row>
    <row r="229" spans="1:21">
      <c r="A229" s="185"/>
      <c r="B229" s="661"/>
      <c r="C229" s="185"/>
      <c r="D229" s="185"/>
      <c r="E229" s="185"/>
      <c r="F229" s="185"/>
      <c r="G229" s="186"/>
      <c r="H229" s="185"/>
      <c r="I229" s="185"/>
      <c r="J229" s="752"/>
      <c r="K229" s="752"/>
      <c r="L229" s="185"/>
      <c r="M229" s="185"/>
      <c r="N229" s="185"/>
      <c r="O229" s="185"/>
      <c r="P229" s="185"/>
      <c r="Q229" s="185"/>
      <c r="R229" s="185"/>
      <c r="S229" s="185"/>
      <c r="T229" s="185"/>
      <c r="U229" s="185"/>
    </row>
    <row r="230" spans="1:21">
      <c r="A230" s="185"/>
      <c r="B230" s="661"/>
      <c r="C230" s="185"/>
      <c r="D230" s="185"/>
      <c r="E230" s="185"/>
      <c r="F230" s="185"/>
      <c r="G230" s="186"/>
      <c r="H230" s="185"/>
      <c r="I230" s="185"/>
      <c r="J230" s="752"/>
      <c r="K230" s="752"/>
      <c r="L230" s="185"/>
      <c r="M230" s="185"/>
      <c r="N230" s="185"/>
      <c r="O230" s="185"/>
      <c r="P230" s="185"/>
      <c r="Q230" s="185"/>
      <c r="R230" s="185"/>
      <c r="S230" s="185"/>
      <c r="T230" s="185"/>
      <c r="U230" s="185"/>
    </row>
    <row r="231" spans="1:21">
      <c r="A231" s="185"/>
      <c r="B231" s="661"/>
      <c r="C231" s="185"/>
      <c r="D231" s="185"/>
      <c r="E231" s="185"/>
      <c r="F231" s="185"/>
      <c r="G231" s="186"/>
      <c r="H231" s="185"/>
      <c r="I231" s="185"/>
      <c r="J231" s="752"/>
      <c r="K231" s="752"/>
      <c r="L231" s="185"/>
      <c r="M231" s="185"/>
      <c r="N231" s="185"/>
      <c r="O231" s="185"/>
      <c r="P231" s="185"/>
      <c r="Q231" s="185"/>
      <c r="R231" s="185"/>
      <c r="S231" s="185"/>
      <c r="T231" s="185"/>
      <c r="U231" s="185"/>
    </row>
    <row r="232" spans="1:21">
      <c r="A232" s="185"/>
      <c r="B232" s="661"/>
      <c r="C232" s="185"/>
      <c r="D232" s="185"/>
      <c r="E232" s="185"/>
      <c r="F232" s="185"/>
      <c r="G232" s="186"/>
      <c r="H232" s="185"/>
      <c r="I232" s="185"/>
      <c r="J232" s="752"/>
      <c r="K232" s="752"/>
      <c r="L232" s="185"/>
      <c r="M232" s="185"/>
      <c r="N232" s="185"/>
      <c r="O232" s="185"/>
      <c r="P232" s="185"/>
      <c r="Q232" s="185"/>
      <c r="R232" s="185"/>
      <c r="S232" s="185"/>
      <c r="T232" s="185"/>
      <c r="U232" s="185"/>
    </row>
    <row r="233" spans="1:21">
      <c r="A233" s="185"/>
      <c r="B233" s="661"/>
      <c r="C233" s="185"/>
      <c r="D233" s="185"/>
      <c r="E233" s="185"/>
      <c r="F233" s="185"/>
      <c r="G233" s="186"/>
      <c r="H233" s="185"/>
      <c r="I233" s="185"/>
      <c r="J233" s="752"/>
      <c r="K233" s="752"/>
      <c r="L233" s="185"/>
      <c r="M233" s="185"/>
      <c r="N233" s="185"/>
      <c r="O233" s="185"/>
      <c r="P233" s="185"/>
      <c r="Q233" s="185"/>
      <c r="R233" s="185"/>
      <c r="S233" s="185"/>
      <c r="T233" s="185"/>
      <c r="U233" s="185"/>
    </row>
    <row r="234" spans="1:21">
      <c r="A234" s="185"/>
      <c r="B234" s="661"/>
      <c r="C234" s="185"/>
      <c r="D234" s="185"/>
      <c r="E234" s="185"/>
      <c r="F234" s="185"/>
      <c r="G234" s="186"/>
      <c r="H234" s="185"/>
      <c r="I234" s="185"/>
      <c r="J234" s="752"/>
      <c r="K234" s="752"/>
      <c r="L234" s="185"/>
      <c r="M234" s="185"/>
      <c r="N234" s="185"/>
      <c r="O234" s="185"/>
      <c r="P234" s="185"/>
      <c r="Q234" s="185"/>
      <c r="R234" s="185"/>
      <c r="S234" s="185"/>
      <c r="T234" s="185"/>
      <c r="U234" s="185"/>
    </row>
    <row r="235" spans="1:21">
      <c r="A235" s="185"/>
      <c r="B235" s="661"/>
      <c r="C235" s="185"/>
      <c r="D235" s="185"/>
      <c r="E235" s="185"/>
      <c r="F235" s="185"/>
      <c r="G235" s="186"/>
      <c r="H235" s="185"/>
      <c r="I235" s="185"/>
      <c r="J235" s="752"/>
      <c r="K235" s="752"/>
      <c r="L235" s="185"/>
      <c r="M235" s="185"/>
      <c r="N235" s="185"/>
      <c r="O235" s="185"/>
      <c r="P235" s="185"/>
      <c r="Q235" s="185"/>
      <c r="R235" s="185"/>
      <c r="S235" s="185"/>
      <c r="T235" s="185"/>
      <c r="U235" s="185"/>
    </row>
    <row r="236" spans="1:21">
      <c r="A236" s="185"/>
      <c r="B236" s="661"/>
      <c r="C236" s="185"/>
      <c r="D236" s="185"/>
      <c r="E236" s="185"/>
      <c r="F236" s="185"/>
      <c r="G236" s="186"/>
      <c r="H236" s="185"/>
      <c r="I236" s="185"/>
      <c r="J236" s="752"/>
      <c r="K236" s="752"/>
      <c r="L236" s="185"/>
      <c r="M236" s="185"/>
      <c r="N236" s="185"/>
      <c r="O236" s="185"/>
      <c r="P236" s="185"/>
      <c r="Q236" s="185"/>
      <c r="R236" s="185"/>
      <c r="S236" s="185"/>
      <c r="T236" s="185"/>
      <c r="U236" s="185"/>
    </row>
    <row r="237" spans="1:21">
      <c r="A237" s="185"/>
      <c r="B237" s="661"/>
      <c r="C237" s="185"/>
      <c r="D237" s="185"/>
      <c r="E237" s="185"/>
      <c r="F237" s="185"/>
      <c r="G237" s="186"/>
      <c r="H237" s="185"/>
      <c r="I237" s="185"/>
      <c r="J237" s="752"/>
      <c r="K237" s="752"/>
      <c r="L237" s="185"/>
      <c r="M237" s="185"/>
      <c r="N237" s="185"/>
      <c r="O237" s="185"/>
      <c r="P237" s="185"/>
      <c r="Q237" s="185"/>
      <c r="R237" s="185"/>
      <c r="S237" s="185"/>
      <c r="T237" s="185"/>
      <c r="U237" s="185"/>
    </row>
    <row r="238" spans="1:21">
      <c r="A238" s="185"/>
      <c r="B238" s="661"/>
      <c r="C238" s="185"/>
      <c r="D238" s="185"/>
      <c r="E238" s="185"/>
      <c r="F238" s="185"/>
      <c r="G238" s="186"/>
      <c r="H238" s="185"/>
      <c r="I238" s="185"/>
      <c r="J238" s="752"/>
      <c r="K238" s="752"/>
      <c r="L238" s="185"/>
      <c r="M238" s="185"/>
      <c r="N238" s="185"/>
      <c r="O238" s="185"/>
      <c r="P238" s="185"/>
      <c r="Q238" s="185"/>
      <c r="R238" s="185"/>
      <c r="S238" s="185"/>
      <c r="T238" s="185"/>
      <c r="U238" s="185"/>
    </row>
    <row r="239" spans="1:21">
      <c r="A239" s="185"/>
      <c r="B239" s="661"/>
      <c r="C239" s="185"/>
      <c r="D239" s="185"/>
      <c r="E239" s="185"/>
      <c r="F239" s="185"/>
      <c r="G239" s="186"/>
      <c r="H239" s="185"/>
      <c r="I239" s="185"/>
      <c r="J239" s="752"/>
      <c r="K239" s="752"/>
      <c r="L239" s="185"/>
      <c r="M239" s="185"/>
      <c r="N239" s="185"/>
      <c r="O239" s="185"/>
      <c r="P239" s="185"/>
      <c r="Q239" s="185"/>
      <c r="R239" s="185"/>
      <c r="S239" s="185"/>
      <c r="T239" s="185"/>
      <c r="U239" s="185"/>
    </row>
    <row r="240" spans="1:21">
      <c r="A240" s="185"/>
      <c r="B240" s="661"/>
      <c r="C240" s="185"/>
      <c r="D240" s="185"/>
      <c r="E240" s="185"/>
      <c r="F240" s="185"/>
      <c r="G240" s="186"/>
      <c r="H240" s="185"/>
      <c r="I240" s="185"/>
      <c r="J240" s="752"/>
      <c r="K240" s="752"/>
      <c r="L240" s="185"/>
      <c r="M240" s="185"/>
      <c r="N240" s="185"/>
      <c r="O240" s="185"/>
      <c r="P240" s="185"/>
      <c r="Q240" s="185"/>
      <c r="R240" s="185"/>
      <c r="S240" s="185"/>
      <c r="T240" s="185"/>
      <c r="U240" s="185"/>
    </row>
    <row r="241" spans="1:21">
      <c r="A241" s="185"/>
      <c r="B241" s="661"/>
      <c r="C241" s="185"/>
      <c r="D241" s="185"/>
      <c r="E241" s="185"/>
      <c r="F241" s="185"/>
      <c r="G241" s="186"/>
      <c r="H241" s="185"/>
      <c r="I241" s="185"/>
      <c r="J241" s="752"/>
      <c r="K241" s="752"/>
      <c r="L241" s="185"/>
      <c r="M241" s="185"/>
      <c r="N241" s="185"/>
      <c r="O241" s="185"/>
      <c r="P241" s="185"/>
      <c r="Q241" s="185"/>
      <c r="R241" s="185"/>
      <c r="S241" s="185"/>
      <c r="T241" s="185"/>
      <c r="U241" s="185"/>
    </row>
    <row r="242" spans="1:21">
      <c r="A242" s="185"/>
      <c r="B242" s="661"/>
      <c r="C242" s="185"/>
      <c r="D242" s="185"/>
      <c r="E242" s="185"/>
      <c r="F242" s="185"/>
      <c r="G242" s="186"/>
      <c r="H242" s="185"/>
      <c r="I242" s="185"/>
      <c r="J242" s="752"/>
      <c r="K242" s="752"/>
      <c r="L242" s="185"/>
      <c r="M242" s="185"/>
      <c r="N242" s="185"/>
      <c r="O242" s="185"/>
      <c r="P242" s="185"/>
      <c r="Q242" s="185"/>
      <c r="R242" s="185"/>
      <c r="S242" s="185"/>
      <c r="T242" s="185"/>
      <c r="U242" s="185"/>
    </row>
    <row r="243" spans="1:21">
      <c r="A243" s="185"/>
      <c r="B243" s="661"/>
      <c r="C243" s="185"/>
      <c r="D243" s="185"/>
      <c r="E243" s="185"/>
      <c r="F243" s="185"/>
      <c r="G243" s="186"/>
      <c r="H243" s="185"/>
      <c r="I243" s="185"/>
      <c r="J243" s="752"/>
      <c r="K243" s="752"/>
      <c r="L243" s="185"/>
      <c r="M243" s="185"/>
      <c r="N243" s="185"/>
      <c r="O243" s="185"/>
      <c r="P243" s="185"/>
      <c r="Q243" s="185"/>
      <c r="R243" s="185"/>
      <c r="S243" s="185"/>
      <c r="T243" s="185"/>
      <c r="U243" s="185"/>
    </row>
    <row r="244" spans="1:21">
      <c r="A244" s="185"/>
      <c r="B244" s="661"/>
      <c r="C244" s="185"/>
      <c r="D244" s="185"/>
      <c r="E244" s="185"/>
      <c r="F244" s="185"/>
      <c r="G244" s="186"/>
      <c r="H244" s="185"/>
      <c r="I244" s="185"/>
      <c r="J244" s="752"/>
      <c r="K244" s="752"/>
      <c r="L244" s="185"/>
      <c r="M244" s="185"/>
      <c r="N244" s="185"/>
      <c r="O244" s="185"/>
      <c r="P244" s="185"/>
      <c r="Q244" s="185"/>
      <c r="R244" s="185"/>
      <c r="S244" s="185"/>
      <c r="T244" s="185"/>
      <c r="U244" s="185"/>
    </row>
    <row r="245" spans="1:21">
      <c r="A245" s="185"/>
      <c r="B245" s="661"/>
      <c r="C245" s="185"/>
      <c r="D245" s="185"/>
      <c r="E245" s="185"/>
      <c r="F245" s="185"/>
      <c r="G245" s="186"/>
      <c r="H245" s="185"/>
      <c r="I245" s="185"/>
      <c r="J245" s="752"/>
      <c r="K245" s="752"/>
      <c r="L245" s="185"/>
      <c r="M245" s="185"/>
      <c r="N245" s="185"/>
      <c r="O245" s="185"/>
      <c r="P245" s="185"/>
      <c r="Q245" s="185"/>
      <c r="R245" s="185"/>
      <c r="S245" s="185"/>
      <c r="T245" s="185"/>
      <c r="U245" s="185"/>
    </row>
    <row r="246" spans="1:21">
      <c r="A246" s="185"/>
      <c r="B246" s="661"/>
      <c r="C246" s="185"/>
      <c r="D246" s="185"/>
      <c r="E246" s="185"/>
      <c r="F246" s="185"/>
      <c r="G246" s="186"/>
      <c r="H246" s="185"/>
      <c r="I246" s="185"/>
      <c r="J246" s="752"/>
      <c r="K246" s="752"/>
      <c r="L246" s="185"/>
      <c r="M246" s="185"/>
      <c r="N246" s="185"/>
      <c r="O246" s="185"/>
      <c r="P246" s="185"/>
      <c r="Q246" s="185"/>
      <c r="R246" s="185"/>
      <c r="S246" s="185"/>
      <c r="T246" s="185"/>
      <c r="U246" s="185"/>
    </row>
    <row r="247" spans="1:21">
      <c r="A247" s="185"/>
      <c r="B247" s="661"/>
      <c r="C247" s="185"/>
      <c r="D247" s="185"/>
      <c r="E247" s="185"/>
      <c r="F247" s="185"/>
      <c r="G247" s="186"/>
      <c r="H247" s="185"/>
      <c r="I247" s="185"/>
      <c r="J247" s="752"/>
      <c r="K247" s="752"/>
      <c r="L247" s="185"/>
      <c r="M247" s="185"/>
      <c r="N247" s="185"/>
      <c r="O247" s="185"/>
      <c r="P247" s="185"/>
      <c r="Q247" s="185"/>
      <c r="R247" s="185"/>
      <c r="S247" s="185"/>
      <c r="T247" s="185"/>
      <c r="U247" s="185"/>
    </row>
    <row r="248" spans="1:21">
      <c r="A248" s="185"/>
      <c r="B248" s="661"/>
      <c r="C248" s="185"/>
      <c r="D248" s="185"/>
      <c r="E248" s="185"/>
      <c r="F248" s="185"/>
      <c r="G248" s="186"/>
      <c r="H248" s="185"/>
      <c r="I248" s="185"/>
      <c r="J248" s="752"/>
      <c r="K248" s="752"/>
      <c r="L248" s="185"/>
      <c r="M248" s="185"/>
      <c r="N248" s="185"/>
      <c r="O248" s="185"/>
      <c r="P248" s="185"/>
      <c r="Q248" s="185"/>
      <c r="R248" s="185"/>
      <c r="S248" s="185"/>
      <c r="T248" s="185"/>
      <c r="U248" s="185"/>
    </row>
    <row r="249" spans="1:21">
      <c r="A249" s="185"/>
      <c r="B249" s="661"/>
      <c r="C249" s="185"/>
      <c r="D249" s="185"/>
      <c r="E249" s="185"/>
      <c r="F249" s="185"/>
      <c r="G249" s="186"/>
      <c r="H249" s="185"/>
      <c r="I249" s="185"/>
      <c r="J249" s="752"/>
      <c r="K249" s="752"/>
      <c r="L249" s="185"/>
      <c r="M249" s="185"/>
      <c r="N249" s="185"/>
      <c r="O249" s="185"/>
      <c r="P249" s="185"/>
      <c r="Q249" s="185"/>
      <c r="R249" s="185"/>
      <c r="S249" s="185"/>
      <c r="T249" s="185"/>
      <c r="U249" s="185"/>
    </row>
    <row r="250" spans="1:21">
      <c r="A250" s="185"/>
      <c r="B250" s="661"/>
      <c r="C250" s="185"/>
      <c r="D250" s="185"/>
      <c r="E250" s="185"/>
      <c r="F250" s="185"/>
      <c r="G250" s="186"/>
      <c r="H250" s="185"/>
      <c r="I250" s="185"/>
      <c r="J250" s="752"/>
      <c r="K250" s="752"/>
      <c r="L250" s="185"/>
      <c r="M250" s="185"/>
      <c r="N250" s="185"/>
      <c r="O250" s="185"/>
      <c r="P250" s="185"/>
      <c r="Q250" s="185"/>
      <c r="R250" s="185"/>
      <c r="S250" s="185"/>
      <c r="T250" s="185"/>
      <c r="U250" s="185"/>
    </row>
    <row r="251" spans="1:21">
      <c r="A251" s="185"/>
      <c r="B251" s="661"/>
      <c r="C251" s="185"/>
      <c r="D251" s="185"/>
      <c r="E251" s="185"/>
      <c r="F251" s="185"/>
      <c r="G251" s="186"/>
      <c r="H251" s="185"/>
      <c r="I251" s="185"/>
      <c r="J251" s="752"/>
      <c r="K251" s="752"/>
      <c r="L251" s="185"/>
      <c r="M251" s="185"/>
      <c r="N251" s="185"/>
      <c r="O251" s="185"/>
      <c r="P251" s="185"/>
      <c r="Q251" s="185"/>
      <c r="R251" s="185"/>
      <c r="S251" s="185"/>
      <c r="T251" s="185"/>
      <c r="U251" s="185"/>
    </row>
    <row r="252" spans="1:21">
      <c r="A252" s="185"/>
      <c r="B252" s="661"/>
      <c r="C252" s="185"/>
      <c r="D252" s="185"/>
      <c r="E252" s="185"/>
      <c r="F252" s="185"/>
      <c r="G252" s="186"/>
      <c r="H252" s="185"/>
      <c r="I252" s="185"/>
      <c r="J252" s="752"/>
      <c r="K252" s="752"/>
      <c r="L252" s="185"/>
      <c r="M252" s="185"/>
      <c r="N252" s="185"/>
      <c r="O252" s="185"/>
      <c r="P252" s="185"/>
      <c r="Q252" s="185"/>
      <c r="R252" s="185"/>
      <c r="S252" s="185"/>
      <c r="T252" s="185"/>
      <c r="U252" s="185"/>
    </row>
    <row r="253" spans="1:21">
      <c r="A253" s="185"/>
      <c r="B253" s="661"/>
      <c r="C253" s="185"/>
      <c r="D253" s="185"/>
      <c r="E253" s="185"/>
      <c r="F253" s="185"/>
      <c r="G253" s="186"/>
      <c r="H253" s="185"/>
      <c r="I253" s="185"/>
      <c r="J253" s="752"/>
      <c r="K253" s="752"/>
      <c r="L253" s="185"/>
      <c r="M253" s="185"/>
      <c r="N253" s="185"/>
      <c r="O253" s="185"/>
      <c r="P253" s="185"/>
      <c r="Q253" s="185"/>
      <c r="R253" s="185"/>
      <c r="S253" s="185"/>
      <c r="T253" s="185"/>
      <c r="U253" s="185"/>
    </row>
    <row r="254" spans="1:21">
      <c r="A254" s="185"/>
      <c r="B254" s="661"/>
      <c r="C254" s="185"/>
      <c r="D254" s="185"/>
      <c r="E254" s="185"/>
      <c r="F254" s="185"/>
      <c r="G254" s="186"/>
      <c r="H254" s="185"/>
      <c r="I254" s="185"/>
      <c r="J254" s="752"/>
      <c r="K254" s="752"/>
      <c r="L254" s="185"/>
      <c r="M254" s="185"/>
      <c r="N254" s="185"/>
      <c r="O254" s="185"/>
      <c r="P254" s="185"/>
      <c r="Q254" s="185"/>
      <c r="R254" s="185"/>
      <c r="S254" s="185"/>
      <c r="T254" s="185"/>
      <c r="U254" s="185"/>
    </row>
    <row r="255" spans="1:21">
      <c r="A255" s="185"/>
      <c r="B255" s="661"/>
      <c r="C255" s="185"/>
      <c r="D255" s="185"/>
      <c r="E255" s="185"/>
      <c r="F255" s="185"/>
      <c r="G255" s="186"/>
      <c r="H255" s="185"/>
      <c r="I255" s="185"/>
      <c r="J255" s="752"/>
      <c r="K255" s="752"/>
      <c r="L255" s="185"/>
      <c r="M255" s="185"/>
      <c r="N255" s="185"/>
      <c r="O255" s="185"/>
      <c r="P255" s="185"/>
      <c r="Q255" s="185"/>
      <c r="R255" s="185"/>
      <c r="S255" s="185"/>
      <c r="T255" s="185"/>
      <c r="U255" s="185"/>
    </row>
    <row r="256" spans="1:21">
      <c r="A256" s="185"/>
      <c r="B256" s="661"/>
      <c r="C256" s="185"/>
      <c r="D256" s="185"/>
      <c r="E256" s="185"/>
      <c r="F256" s="185"/>
      <c r="G256" s="186"/>
      <c r="H256" s="185"/>
      <c r="I256" s="185"/>
      <c r="J256" s="752"/>
      <c r="K256" s="752"/>
      <c r="L256" s="185"/>
      <c r="M256" s="185"/>
      <c r="N256" s="185"/>
      <c r="O256" s="185"/>
      <c r="P256" s="185"/>
      <c r="Q256" s="185"/>
      <c r="R256" s="185"/>
      <c r="S256" s="185"/>
      <c r="T256" s="185"/>
      <c r="U256" s="185"/>
    </row>
    <row r="257" spans="1:21">
      <c r="A257" s="185"/>
      <c r="B257" s="661"/>
      <c r="C257" s="185"/>
      <c r="D257" s="185"/>
      <c r="E257" s="185"/>
      <c r="F257" s="185"/>
      <c r="G257" s="186"/>
      <c r="H257" s="185"/>
      <c r="I257" s="185"/>
      <c r="J257" s="752"/>
      <c r="K257" s="752"/>
      <c r="L257" s="185"/>
      <c r="M257" s="185"/>
      <c r="N257" s="185"/>
      <c r="O257" s="185"/>
      <c r="P257" s="185"/>
      <c r="Q257" s="185"/>
      <c r="R257" s="185"/>
      <c r="S257" s="185"/>
      <c r="T257" s="185"/>
      <c r="U257" s="185"/>
    </row>
    <row r="258" spans="1:21">
      <c r="A258" s="185"/>
      <c r="B258" s="661"/>
      <c r="C258" s="185"/>
      <c r="D258" s="185"/>
      <c r="E258" s="185"/>
      <c r="F258" s="185"/>
      <c r="G258" s="186"/>
      <c r="H258" s="185"/>
      <c r="I258" s="185"/>
      <c r="J258" s="752"/>
      <c r="K258" s="752"/>
      <c r="L258" s="185"/>
      <c r="M258" s="185"/>
      <c r="N258" s="185"/>
      <c r="O258" s="185"/>
      <c r="P258" s="185"/>
      <c r="Q258" s="185"/>
      <c r="R258" s="185"/>
      <c r="S258" s="185"/>
      <c r="T258" s="185"/>
      <c r="U258" s="185"/>
    </row>
    <row r="259" spans="1:21">
      <c r="A259" s="185"/>
      <c r="B259" s="661"/>
      <c r="C259" s="185"/>
      <c r="D259" s="185"/>
      <c r="E259" s="185"/>
      <c r="F259" s="185"/>
      <c r="G259" s="186"/>
      <c r="H259" s="185"/>
      <c r="I259" s="185"/>
      <c r="J259" s="752"/>
      <c r="K259" s="752"/>
      <c r="L259" s="185"/>
      <c r="M259" s="185"/>
      <c r="N259" s="185"/>
      <c r="O259" s="185"/>
      <c r="P259" s="185"/>
      <c r="Q259" s="185"/>
      <c r="R259" s="185"/>
      <c r="S259" s="185"/>
      <c r="T259" s="185"/>
      <c r="U259" s="185"/>
    </row>
    <row r="260" spans="1:21">
      <c r="A260" s="185"/>
      <c r="B260" s="661"/>
      <c r="C260" s="185"/>
      <c r="D260" s="185"/>
      <c r="E260" s="185"/>
      <c r="F260" s="185"/>
      <c r="G260" s="186"/>
      <c r="H260" s="185"/>
      <c r="I260" s="185"/>
      <c r="J260" s="752"/>
      <c r="K260" s="752"/>
      <c r="L260" s="185"/>
      <c r="M260" s="185"/>
      <c r="N260" s="185"/>
      <c r="O260" s="185"/>
      <c r="P260" s="185"/>
      <c r="Q260" s="185"/>
      <c r="R260" s="185"/>
      <c r="S260" s="185"/>
      <c r="T260" s="185"/>
      <c r="U260" s="185"/>
    </row>
    <row r="261" spans="1:21">
      <c r="A261" s="185"/>
      <c r="B261" s="661"/>
      <c r="C261" s="185"/>
      <c r="D261" s="185"/>
      <c r="E261" s="185"/>
      <c r="F261" s="185"/>
      <c r="G261" s="186"/>
      <c r="H261" s="185"/>
      <c r="I261" s="185"/>
      <c r="J261" s="752"/>
      <c r="K261" s="752"/>
      <c r="L261" s="185"/>
      <c r="M261" s="185"/>
      <c r="N261" s="185"/>
      <c r="O261" s="185"/>
      <c r="P261" s="185"/>
      <c r="Q261" s="185"/>
      <c r="R261" s="185"/>
      <c r="S261" s="185"/>
      <c r="T261" s="185"/>
      <c r="U261" s="185"/>
    </row>
    <row r="262" spans="1:21">
      <c r="A262" s="185"/>
      <c r="B262" s="661"/>
      <c r="C262" s="185"/>
      <c r="D262" s="185"/>
      <c r="E262" s="185"/>
      <c r="F262" s="185"/>
      <c r="G262" s="186"/>
      <c r="H262" s="185"/>
      <c r="I262" s="185"/>
      <c r="J262" s="752"/>
      <c r="K262" s="752"/>
      <c r="L262" s="185"/>
      <c r="M262" s="185"/>
      <c r="N262" s="185"/>
      <c r="O262" s="185"/>
      <c r="P262" s="185"/>
      <c r="Q262" s="185"/>
      <c r="R262" s="185"/>
      <c r="S262" s="185"/>
      <c r="T262" s="185"/>
      <c r="U262" s="185"/>
    </row>
    <row r="263" spans="1:21">
      <c r="A263" s="185"/>
      <c r="B263" s="661"/>
      <c r="C263" s="185"/>
      <c r="D263" s="185"/>
      <c r="E263" s="185"/>
      <c r="F263" s="185"/>
      <c r="G263" s="186"/>
      <c r="H263" s="185"/>
      <c r="I263" s="185"/>
      <c r="J263" s="752"/>
      <c r="K263" s="752"/>
      <c r="L263" s="185"/>
      <c r="M263" s="185"/>
      <c r="N263" s="185"/>
      <c r="O263" s="185"/>
      <c r="P263" s="185"/>
      <c r="Q263" s="185"/>
      <c r="R263" s="185"/>
      <c r="S263" s="185"/>
      <c r="T263" s="185"/>
      <c r="U263" s="185"/>
    </row>
    <row r="264" spans="1:21">
      <c r="A264" s="185"/>
      <c r="B264" s="661"/>
      <c r="C264" s="185"/>
      <c r="D264" s="185"/>
      <c r="E264" s="185"/>
      <c r="F264" s="185"/>
      <c r="G264" s="186"/>
      <c r="H264" s="185"/>
      <c r="I264" s="185"/>
      <c r="J264" s="752"/>
      <c r="K264" s="752"/>
      <c r="L264" s="185"/>
      <c r="M264" s="185"/>
      <c r="N264" s="185"/>
      <c r="O264" s="185"/>
      <c r="P264" s="185"/>
      <c r="Q264" s="185"/>
      <c r="R264" s="185"/>
      <c r="S264" s="185"/>
      <c r="T264" s="185"/>
      <c r="U264" s="185"/>
    </row>
    <row r="265" spans="1:21">
      <c r="A265" s="185"/>
      <c r="B265" s="661"/>
      <c r="C265" s="185"/>
      <c r="D265" s="185"/>
      <c r="E265" s="185"/>
      <c r="F265" s="185"/>
      <c r="G265" s="186"/>
      <c r="H265" s="185"/>
      <c r="I265" s="185"/>
      <c r="J265" s="752"/>
      <c r="K265" s="752"/>
      <c r="L265" s="185"/>
      <c r="M265" s="185"/>
      <c r="N265" s="185"/>
      <c r="O265" s="185"/>
      <c r="P265" s="185"/>
      <c r="Q265" s="185"/>
      <c r="R265" s="185"/>
      <c r="S265" s="185"/>
      <c r="T265" s="185"/>
      <c r="U265" s="185"/>
    </row>
    <row r="266" spans="1:21">
      <c r="A266" s="185"/>
      <c r="B266" s="661"/>
      <c r="C266" s="185"/>
      <c r="D266" s="185"/>
      <c r="E266" s="185"/>
      <c r="F266" s="185"/>
      <c r="G266" s="186"/>
      <c r="H266" s="185"/>
      <c r="I266" s="185"/>
      <c r="J266" s="752"/>
      <c r="K266" s="752"/>
      <c r="L266" s="185"/>
      <c r="M266" s="185"/>
      <c r="N266" s="185"/>
      <c r="O266" s="185"/>
      <c r="P266" s="185"/>
      <c r="Q266" s="185"/>
      <c r="R266" s="185"/>
      <c r="S266" s="185"/>
      <c r="T266" s="185"/>
      <c r="U266" s="185"/>
    </row>
    <row r="267" spans="1:21">
      <c r="A267" s="185"/>
      <c r="B267" s="661"/>
      <c r="C267" s="185"/>
      <c r="D267" s="185"/>
      <c r="E267" s="185"/>
      <c r="F267" s="185"/>
      <c r="G267" s="186"/>
      <c r="H267" s="185"/>
      <c r="I267" s="185"/>
      <c r="J267" s="752"/>
      <c r="K267" s="752"/>
      <c r="L267" s="185"/>
      <c r="M267" s="185"/>
      <c r="N267" s="185"/>
      <c r="O267" s="185"/>
      <c r="P267" s="185"/>
      <c r="Q267" s="185"/>
      <c r="R267" s="185"/>
      <c r="S267" s="185"/>
      <c r="T267" s="185"/>
      <c r="U267" s="185"/>
    </row>
    <row r="268" spans="1:21">
      <c r="A268" s="185"/>
      <c r="B268" s="661"/>
      <c r="C268" s="185"/>
      <c r="D268" s="185"/>
      <c r="E268" s="185"/>
      <c r="F268" s="185"/>
      <c r="G268" s="186"/>
      <c r="H268" s="185"/>
      <c r="I268" s="185"/>
      <c r="J268" s="752"/>
      <c r="K268" s="752"/>
      <c r="L268" s="185"/>
      <c r="M268" s="185"/>
      <c r="N268" s="185"/>
      <c r="O268" s="185"/>
      <c r="P268" s="185"/>
      <c r="Q268" s="185"/>
      <c r="R268" s="185"/>
      <c r="S268" s="185"/>
      <c r="T268" s="185"/>
      <c r="U268" s="185"/>
    </row>
    <row r="269" spans="1:21">
      <c r="A269" s="185"/>
      <c r="B269" s="661"/>
      <c r="C269" s="185"/>
      <c r="D269" s="185"/>
      <c r="E269" s="185"/>
      <c r="F269" s="185"/>
      <c r="G269" s="186"/>
      <c r="H269" s="185"/>
      <c r="I269" s="185"/>
      <c r="J269" s="752"/>
      <c r="K269" s="752"/>
      <c r="L269" s="185"/>
      <c r="M269" s="185"/>
      <c r="N269" s="185"/>
      <c r="O269" s="185"/>
      <c r="P269" s="185"/>
      <c r="Q269" s="185"/>
      <c r="R269" s="185"/>
      <c r="S269" s="185"/>
      <c r="T269" s="185"/>
      <c r="U269" s="185"/>
    </row>
    <row r="270" spans="1:21">
      <c r="A270" s="185"/>
      <c r="B270" s="661"/>
      <c r="C270" s="185"/>
      <c r="D270" s="185"/>
      <c r="E270" s="185"/>
      <c r="F270" s="185"/>
      <c r="G270" s="186"/>
      <c r="H270" s="185"/>
      <c r="I270" s="185"/>
      <c r="J270" s="752"/>
      <c r="K270" s="752"/>
      <c r="L270" s="185"/>
      <c r="M270" s="185"/>
      <c r="N270" s="185"/>
      <c r="O270" s="185"/>
      <c r="P270" s="185"/>
      <c r="Q270" s="185"/>
      <c r="R270" s="185"/>
      <c r="S270" s="185"/>
      <c r="T270" s="185"/>
      <c r="U270" s="185"/>
    </row>
    <row r="271" spans="1:21">
      <c r="A271" s="185"/>
      <c r="B271" s="661"/>
      <c r="C271" s="185"/>
      <c r="D271" s="185"/>
      <c r="E271" s="185"/>
      <c r="F271" s="185"/>
      <c r="G271" s="186"/>
      <c r="H271" s="185"/>
      <c r="I271" s="185"/>
      <c r="J271" s="752"/>
      <c r="K271" s="752"/>
      <c r="L271" s="185"/>
      <c r="M271" s="185"/>
      <c r="N271" s="185"/>
      <c r="O271" s="185"/>
      <c r="P271" s="185"/>
      <c r="Q271" s="185"/>
      <c r="R271" s="185"/>
      <c r="S271" s="185"/>
      <c r="T271" s="185"/>
      <c r="U271" s="185"/>
    </row>
    <row r="272" spans="1:21">
      <c r="A272" s="185"/>
      <c r="B272" s="661"/>
      <c r="C272" s="185"/>
      <c r="D272" s="185"/>
      <c r="E272" s="185"/>
      <c r="F272" s="185"/>
      <c r="G272" s="186"/>
      <c r="H272" s="185"/>
      <c r="I272" s="185"/>
      <c r="J272" s="752"/>
      <c r="K272" s="752"/>
      <c r="L272" s="185"/>
      <c r="M272" s="185"/>
      <c r="N272" s="185"/>
      <c r="O272" s="185"/>
      <c r="P272" s="185"/>
      <c r="Q272" s="185"/>
      <c r="R272" s="185"/>
      <c r="S272" s="185"/>
      <c r="T272" s="185"/>
      <c r="U272" s="185"/>
    </row>
    <row r="273" spans="1:21">
      <c r="A273" s="185"/>
      <c r="B273" s="661"/>
      <c r="C273" s="185"/>
      <c r="D273" s="185"/>
      <c r="E273" s="185"/>
      <c r="F273" s="185"/>
      <c r="G273" s="186"/>
      <c r="H273" s="185"/>
      <c r="I273" s="185"/>
      <c r="J273" s="752"/>
      <c r="K273" s="752"/>
      <c r="L273" s="185"/>
      <c r="M273" s="185"/>
      <c r="N273" s="185"/>
      <c r="O273" s="185"/>
      <c r="P273" s="185"/>
      <c r="Q273" s="185"/>
      <c r="R273" s="185"/>
      <c r="S273" s="185"/>
      <c r="T273" s="185"/>
      <c r="U273" s="185"/>
    </row>
    <row r="274" spans="1:21">
      <c r="A274" s="185"/>
      <c r="B274" s="661"/>
      <c r="C274" s="185"/>
      <c r="D274" s="185"/>
      <c r="E274" s="185"/>
      <c r="F274" s="185"/>
      <c r="G274" s="186"/>
      <c r="H274" s="185"/>
      <c r="I274" s="185"/>
      <c r="J274" s="752"/>
      <c r="K274" s="752"/>
      <c r="L274" s="185"/>
      <c r="M274" s="185"/>
      <c r="N274" s="185"/>
      <c r="O274" s="185"/>
      <c r="P274" s="185"/>
      <c r="Q274" s="185"/>
      <c r="R274" s="185"/>
      <c r="S274" s="185"/>
      <c r="T274" s="185"/>
      <c r="U274" s="185"/>
    </row>
    <row r="275" spans="1:21">
      <c r="A275" s="185"/>
      <c r="B275" s="661"/>
      <c r="C275" s="185"/>
      <c r="D275" s="185"/>
      <c r="E275" s="185"/>
      <c r="F275" s="185"/>
      <c r="G275" s="186"/>
      <c r="H275" s="185"/>
      <c r="I275" s="185"/>
      <c r="J275" s="752"/>
      <c r="K275" s="752"/>
      <c r="L275" s="185"/>
      <c r="M275" s="185"/>
      <c r="N275" s="185"/>
      <c r="O275" s="185"/>
      <c r="P275" s="185"/>
      <c r="Q275" s="185"/>
      <c r="R275" s="185"/>
      <c r="S275" s="185"/>
      <c r="T275" s="185"/>
      <c r="U275" s="185"/>
    </row>
    <row r="276" spans="1:21">
      <c r="A276" s="185"/>
      <c r="B276" s="661"/>
      <c r="C276" s="185"/>
      <c r="D276" s="185"/>
      <c r="E276" s="185"/>
      <c r="F276" s="185"/>
      <c r="G276" s="186"/>
      <c r="H276" s="185"/>
      <c r="I276" s="185"/>
      <c r="J276" s="752"/>
      <c r="K276" s="752"/>
      <c r="L276" s="185"/>
      <c r="M276" s="185"/>
      <c r="N276" s="185"/>
      <c r="O276" s="185"/>
      <c r="P276" s="185"/>
      <c r="Q276" s="185"/>
      <c r="R276" s="185"/>
      <c r="S276" s="185"/>
      <c r="T276" s="185"/>
      <c r="U276" s="185"/>
    </row>
    <row r="277" spans="1:21">
      <c r="A277" s="185"/>
      <c r="B277" s="661"/>
      <c r="C277" s="185"/>
      <c r="D277" s="185"/>
      <c r="E277" s="185"/>
      <c r="F277" s="185"/>
      <c r="G277" s="186"/>
      <c r="H277" s="185"/>
      <c r="I277" s="185"/>
      <c r="J277" s="752"/>
      <c r="K277" s="752"/>
      <c r="L277" s="185"/>
      <c r="M277" s="185"/>
      <c r="N277" s="185"/>
      <c r="O277" s="185"/>
      <c r="P277" s="185"/>
      <c r="Q277" s="185"/>
      <c r="R277" s="185"/>
      <c r="S277" s="185"/>
      <c r="T277" s="185"/>
      <c r="U277" s="185"/>
    </row>
    <row r="278" spans="1:21">
      <c r="A278" s="185"/>
      <c r="B278" s="661"/>
      <c r="C278" s="185"/>
      <c r="D278" s="185"/>
      <c r="E278" s="185"/>
      <c r="F278" s="185"/>
      <c r="G278" s="186"/>
      <c r="H278" s="185"/>
      <c r="I278" s="185"/>
      <c r="J278" s="752"/>
      <c r="K278" s="752"/>
      <c r="L278" s="185"/>
      <c r="M278" s="185"/>
      <c r="N278" s="185"/>
      <c r="O278" s="185"/>
      <c r="P278" s="185"/>
      <c r="Q278" s="185"/>
      <c r="R278" s="185"/>
      <c r="S278" s="185"/>
      <c r="T278" s="185"/>
      <c r="U278" s="185"/>
    </row>
    <row r="279" spans="1:21">
      <c r="A279" s="185"/>
      <c r="B279" s="661"/>
      <c r="C279" s="185"/>
      <c r="D279" s="185"/>
      <c r="E279" s="185"/>
      <c r="F279" s="185"/>
      <c r="G279" s="186"/>
      <c r="H279" s="185"/>
      <c r="I279" s="185"/>
      <c r="J279" s="752"/>
      <c r="K279" s="752"/>
      <c r="L279" s="185"/>
      <c r="M279" s="185"/>
      <c r="N279" s="185"/>
      <c r="O279" s="185"/>
      <c r="P279" s="185"/>
      <c r="Q279" s="185"/>
      <c r="R279" s="185"/>
      <c r="S279" s="185"/>
      <c r="T279" s="185"/>
      <c r="U279" s="185"/>
    </row>
    <row r="280" spans="1:21">
      <c r="A280" s="185"/>
      <c r="B280" s="661"/>
      <c r="C280" s="185"/>
      <c r="D280" s="185"/>
      <c r="E280" s="185"/>
      <c r="F280" s="185"/>
      <c r="G280" s="186"/>
      <c r="H280" s="185"/>
      <c r="I280" s="185"/>
      <c r="J280" s="752"/>
      <c r="K280" s="752"/>
      <c r="L280" s="185"/>
      <c r="M280" s="185"/>
      <c r="N280" s="185"/>
      <c r="O280" s="185"/>
      <c r="P280" s="185"/>
      <c r="Q280" s="185"/>
      <c r="R280" s="185"/>
      <c r="S280" s="185"/>
      <c r="T280" s="185"/>
      <c r="U280" s="185"/>
    </row>
    <row r="281" spans="1:21">
      <c r="A281" s="185"/>
      <c r="B281" s="661"/>
      <c r="C281" s="185"/>
      <c r="D281" s="185"/>
      <c r="E281" s="185"/>
      <c r="F281" s="185"/>
      <c r="G281" s="186"/>
      <c r="H281" s="185"/>
      <c r="I281" s="185"/>
      <c r="J281" s="752"/>
      <c r="K281" s="752"/>
      <c r="L281" s="185"/>
      <c r="M281" s="185"/>
      <c r="N281" s="185"/>
      <c r="O281" s="185"/>
      <c r="P281" s="185"/>
      <c r="Q281" s="185"/>
      <c r="R281" s="185"/>
      <c r="S281" s="185"/>
      <c r="T281" s="185"/>
      <c r="U281" s="185"/>
    </row>
    <row r="282" spans="1:21">
      <c r="A282" s="185"/>
      <c r="B282" s="661"/>
      <c r="C282" s="185"/>
      <c r="D282" s="185"/>
      <c r="E282" s="185"/>
      <c r="F282" s="185"/>
      <c r="G282" s="186"/>
      <c r="H282" s="185"/>
      <c r="I282" s="185"/>
      <c r="J282" s="752"/>
      <c r="K282" s="752"/>
      <c r="L282" s="185"/>
      <c r="M282" s="185"/>
      <c r="N282" s="185"/>
      <c r="O282" s="185"/>
      <c r="P282" s="185"/>
      <c r="Q282" s="185"/>
      <c r="R282" s="185"/>
      <c r="S282" s="185"/>
      <c r="T282" s="185"/>
      <c r="U282" s="185"/>
    </row>
    <row r="283" spans="1:21">
      <c r="A283" s="185"/>
      <c r="B283" s="661"/>
      <c r="C283" s="185"/>
      <c r="D283" s="185"/>
      <c r="E283" s="185"/>
      <c r="F283" s="185"/>
      <c r="G283" s="186"/>
      <c r="H283" s="185"/>
      <c r="I283" s="185"/>
      <c r="J283" s="752"/>
      <c r="K283" s="752"/>
      <c r="L283" s="185"/>
      <c r="M283" s="185"/>
      <c r="N283" s="185"/>
      <c r="O283" s="185"/>
      <c r="P283" s="185"/>
      <c r="Q283" s="185"/>
      <c r="R283" s="185"/>
      <c r="S283" s="185"/>
      <c r="T283" s="185"/>
      <c r="U283" s="185"/>
    </row>
    <row r="284" spans="1:21">
      <c r="A284" s="185"/>
      <c r="B284" s="661"/>
      <c r="C284" s="185"/>
      <c r="D284" s="185"/>
      <c r="E284" s="185"/>
      <c r="F284" s="185"/>
      <c r="G284" s="186"/>
      <c r="H284" s="185"/>
      <c r="I284" s="185"/>
      <c r="J284" s="752"/>
      <c r="K284" s="752"/>
      <c r="L284" s="185"/>
      <c r="M284" s="185"/>
      <c r="N284" s="185"/>
      <c r="O284" s="185"/>
      <c r="P284" s="185"/>
      <c r="Q284" s="185"/>
      <c r="R284" s="185"/>
      <c r="S284" s="185"/>
      <c r="T284" s="185"/>
      <c r="U284" s="185"/>
    </row>
    <row r="285" spans="1:21">
      <c r="A285" s="185"/>
      <c r="B285" s="661"/>
      <c r="C285" s="185"/>
      <c r="D285" s="185"/>
      <c r="E285" s="185"/>
      <c r="F285" s="185"/>
      <c r="G285" s="186"/>
      <c r="H285" s="185"/>
      <c r="I285" s="185"/>
      <c r="J285" s="752"/>
      <c r="K285" s="752"/>
      <c r="L285" s="185"/>
      <c r="M285" s="185"/>
      <c r="N285" s="185"/>
      <c r="O285" s="185"/>
      <c r="P285" s="185"/>
      <c r="Q285" s="185"/>
      <c r="R285" s="185"/>
      <c r="S285" s="185"/>
      <c r="T285" s="185"/>
      <c r="U285" s="185"/>
    </row>
    <row r="286" spans="1:21">
      <c r="A286" s="185"/>
      <c r="B286" s="661"/>
      <c r="C286" s="185"/>
      <c r="D286" s="185"/>
      <c r="E286" s="185"/>
      <c r="F286" s="185"/>
      <c r="G286" s="186"/>
      <c r="H286" s="185"/>
      <c r="I286" s="185"/>
      <c r="J286" s="752"/>
      <c r="K286" s="752"/>
      <c r="L286" s="185"/>
      <c r="M286" s="185"/>
      <c r="N286" s="185"/>
      <c r="O286" s="185"/>
      <c r="P286" s="185"/>
      <c r="Q286" s="185"/>
      <c r="R286" s="185"/>
      <c r="S286" s="185"/>
      <c r="T286" s="185"/>
      <c r="U286" s="185"/>
    </row>
    <row r="287" spans="1:21">
      <c r="A287" s="185"/>
      <c r="B287" s="661"/>
      <c r="C287" s="185"/>
      <c r="D287" s="185"/>
      <c r="E287" s="185"/>
      <c r="F287" s="185"/>
      <c r="G287" s="186"/>
      <c r="H287" s="185"/>
      <c r="I287" s="185"/>
      <c r="J287" s="752"/>
      <c r="K287" s="752"/>
      <c r="L287" s="185"/>
      <c r="M287" s="185"/>
      <c r="N287" s="185"/>
      <c r="O287" s="185"/>
      <c r="P287" s="185"/>
      <c r="Q287" s="185"/>
      <c r="R287" s="185"/>
      <c r="S287" s="185"/>
      <c r="T287" s="185"/>
      <c r="U287" s="185"/>
    </row>
    <row r="288" spans="1:21">
      <c r="A288" s="185"/>
      <c r="B288" s="661"/>
      <c r="C288" s="185"/>
      <c r="D288" s="185"/>
      <c r="E288" s="185"/>
      <c r="F288" s="185"/>
      <c r="G288" s="186"/>
      <c r="H288" s="185"/>
      <c r="I288" s="185"/>
      <c r="J288" s="752"/>
      <c r="K288" s="752"/>
      <c r="L288" s="185"/>
      <c r="M288" s="185"/>
      <c r="N288" s="185"/>
      <c r="O288" s="185"/>
      <c r="P288" s="185"/>
      <c r="Q288" s="185"/>
      <c r="R288" s="185"/>
      <c r="S288" s="185"/>
      <c r="T288" s="185"/>
      <c r="U288" s="185"/>
    </row>
    <row r="289" spans="1:21">
      <c r="A289" s="185"/>
      <c r="B289" s="661"/>
      <c r="C289" s="185"/>
      <c r="D289" s="185"/>
      <c r="E289" s="185"/>
      <c r="F289" s="185"/>
      <c r="G289" s="186"/>
      <c r="H289" s="185"/>
      <c r="I289" s="185"/>
      <c r="J289" s="752"/>
      <c r="K289" s="752"/>
      <c r="L289" s="185"/>
      <c r="M289" s="185"/>
      <c r="N289" s="185"/>
      <c r="O289" s="185"/>
      <c r="P289" s="185"/>
      <c r="Q289" s="185"/>
      <c r="R289" s="185"/>
      <c r="S289" s="185"/>
      <c r="T289" s="185"/>
      <c r="U289" s="185"/>
    </row>
    <row r="290" spans="1:21">
      <c r="A290" s="185"/>
      <c r="B290" s="661"/>
      <c r="C290" s="185"/>
      <c r="D290" s="185"/>
      <c r="E290" s="185"/>
      <c r="F290" s="185"/>
      <c r="G290" s="186"/>
      <c r="H290" s="185"/>
      <c r="I290" s="185"/>
      <c r="J290" s="752"/>
      <c r="K290" s="752"/>
      <c r="L290" s="185"/>
      <c r="M290" s="185"/>
      <c r="N290" s="185"/>
      <c r="O290" s="185"/>
      <c r="P290" s="185"/>
      <c r="Q290" s="185"/>
      <c r="R290" s="185"/>
      <c r="S290" s="185"/>
      <c r="T290" s="185"/>
      <c r="U290" s="185"/>
    </row>
    <row r="291" spans="1:21">
      <c r="A291" s="185"/>
      <c r="B291" s="661"/>
      <c r="C291" s="185"/>
      <c r="D291" s="185"/>
      <c r="E291" s="185"/>
      <c r="F291" s="185"/>
      <c r="G291" s="186"/>
      <c r="H291" s="185"/>
      <c r="I291" s="185"/>
      <c r="J291" s="752"/>
      <c r="K291" s="752"/>
      <c r="L291" s="185"/>
      <c r="M291" s="185"/>
      <c r="N291" s="185"/>
      <c r="O291" s="185"/>
      <c r="P291" s="185"/>
      <c r="Q291" s="185"/>
      <c r="R291" s="185"/>
      <c r="S291" s="185"/>
      <c r="T291" s="185"/>
      <c r="U291" s="185"/>
    </row>
    <row r="292" spans="1:21">
      <c r="A292" s="185"/>
      <c r="B292" s="661"/>
      <c r="C292" s="185"/>
      <c r="D292" s="185"/>
      <c r="E292" s="185"/>
      <c r="F292" s="185"/>
      <c r="G292" s="186"/>
      <c r="H292" s="185"/>
      <c r="I292" s="185"/>
      <c r="J292" s="752"/>
      <c r="K292" s="752"/>
      <c r="L292" s="185"/>
      <c r="M292" s="185"/>
      <c r="N292" s="185"/>
      <c r="O292" s="185"/>
      <c r="P292" s="185"/>
      <c r="Q292" s="185"/>
      <c r="R292" s="185"/>
      <c r="S292" s="185"/>
      <c r="T292" s="185"/>
      <c r="U292" s="185"/>
    </row>
    <row r="293" spans="1:21">
      <c r="A293" s="185"/>
      <c r="B293" s="661"/>
      <c r="C293" s="185"/>
      <c r="D293" s="185"/>
      <c r="E293" s="185"/>
      <c r="F293" s="185"/>
      <c r="G293" s="186"/>
      <c r="H293" s="185"/>
      <c r="I293" s="185"/>
      <c r="J293" s="752"/>
      <c r="K293" s="752"/>
      <c r="L293" s="185"/>
      <c r="M293" s="185"/>
      <c r="N293" s="185"/>
      <c r="O293" s="185"/>
      <c r="P293" s="185"/>
      <c r="Q293" s="185"/>
      <c r="R293" s="185"/>
      <c r="S293" s="185"/>
      <c r="T293" s="185"/>
      <c r="U293" s="185"/>
    </row>
    <row r="294" spans="1:21">
      <c r="A294" s="185"/>
      <c r="B294" s="661"/>
      <c r="C294" s="185"/>
      <c r="D294" s="185"/>
      <c r="E294" s="185"/>
      <c r="F294" s="185"/>
      <c r="G294" s="186"/>
      <c r="H294" s="185"/>
      <c r="I294" s="185"/>
      <c r="J294" s="752"/>
      <c r="K294" s="752"/>
      <c r="L294" s="185"/>
      <c r="M294" s="185"/>
      <c r="N294" s="185"/>
      <c r="O294" s="185"/>
      <c r="P294" s="185"/>
      <c r="Q294" s="185"/>
      <c r="R294" s="185"/>
      <c r="S294" s="185"/>
      <c r="T294" s="185"/>
      <c r="U294" s="185"/>
    </row>
    <row r="295" spans="1:21">
      <c r="A295" s="185"/>
      <c r="B295" s="661"/>
      <c r="C295" s="185"/>
      <c r="D295" s="185"/>
      <c r="E295" s="185"/>
      <c r="F295" s="185"/>
      <c r="G295" s="186"/>
      <c r="H295" s="185"/>
      <c r="I295" s="185"/>
      <c r="J295" s="752"/>
      <c r="K295" s="752"/>
      <c r="L295" s="185"/>
      <c r="M295" s="185"/>
      <c r="N295" s="185"/>
      <c r="O295" s="185"/>
      <c r="P295" s="185"/>
      <c r="Q295" s="185"/>
      <c r="R295" s="185"/>
      <c r="S295" s="185"/>
      <c r="T295" s="185"/>
      <c r="U295" s="185"/>
    </row>
    <row r="296" spans="1:21">
      <c r="A296" s="185"/>
      <c r="B296" s="661"/>
      <c r="C296" s="185"/>
      <c r="D296" s="185"/>
      <c r="E296" s="185"/>
      <c r="F296" s="185"/>
      <c r="G296" s="186"/>
      <c r="H296" s="185"/>
      <c r="I296" s="185"/>
      <c r="J296" s="752"/>
      <c r="K296" s="752"/>
      <c r="L296" s="185"/>
      <c r="M296" s="185"/>
      <c r="N296" s="185"/>
      <c r="O296" s="185"/>
      <c r="P296" s="185"/>
      <c r="Q296" s="185"/>
      <c r="R296" s="185"/>
      <c r="S296" s="185"/>
      <c r="T296" s="185"/>
      <c r="U296" s="185"/>
    </row>
    <row r="297" spans="1:21">
      <c r="A297" s="185"/>
      <c r="B297" s="661"/>
      <c r="C297" s="185"/>
      <c r="D297" s="185"/>
      <c r="E297" s="185"/>
      <c r="F297" s="185"/>
      <c r="G297" s="186"/>
      <c r="H297" s="185"/>
      <c r="I297" s="185"/>
      <c r="J297" s="752"/>
      <c r="K297" s="752"/>
      <c r="L297" s="185"/>
      <c r="M297" s="185"/>
      <c r="N297" s="185"/>
      <c r="O297" s="185"/>
      <c r="P297" s="185"/>
      <c r="Q297" s="185"/>
      <c r="R297" s="185"/>
      <c r="S297" s="185"/>
      <c r="T297" s="185"/>
      <c r="U297" s="185"/>
    </row>
    <row r="298" spans="1:21">
      <c r="A298" s="185"/>
      <c r="B298" s="661"/>
      <c r="C298" s="185"/>
      <c r="D298" s="185"/>
      <c r="E298" s="185"/>
      <c r="F298" s="185"/>
      <c r="G298" s="186"/>
      <c r="H298" s="185"/>
      <c r="I298" s="185"/>
      <c r="J298" s="752"/>
      <c r="K298" s="752"/>
      <c r="L298" s="185"/>
      <c r="M298" s="185"/>
      <c r="N298" s="185"/>
      <c r="O298" s="185"/>
      <c r="P298" s="185"/>
      <c r="Q298" s="185"/>
      <c r="R298" s="185"/>
      <c r="S298" s="185"/>
      <c r="T298" s="185"/>
      <c r="U298" s="185"/>
    </row>
    <row r="299" spans="1:21">
      <c r="A299" s="185"/>
      <c r="B299" s="661"/>
      <c r="C299" s="185"/>
      <c r="D299" s="185"/>
      <c r="E299" s="185"/>
      <c r="F299" s="185"/>
      <c r="G299" s="186"/>
      <c r="H299" s="185"/>
      <c r="I299" s="185"/>
      <c r="J299" s="752"/>
      <c r="K299" s="752"/>
      <c r="L299" s="185"/>
      <c r="M299" s="185"/>
      <c r="N299" s="185"/>
      <c r="O299" s="185"/>
      <c r="P299" s="185"/>
      <c r="Q299" s="185"/>
      <c r="R299" s="185"/>
      <c r="S299" s="185"/>
      <c r="T299" s="185"/>
      <c r="U299" s="185"/>
    </row>
    <row r="300" spans="1:21">
      <c r="A300" s="185"/>
      <c r="B300" s="661"/>
      <c r="C300" s="185"/>
      <c r="D300" s="185"/>
      <c r="E300" s="185"/>
      <c r="F300" s="185"/>
      <c r="G300" s="186"/>
      <c r="H300" s="185"/>
      <c r="I300" s="185"/>
      <c r="J300" s="752"/>
      <c r="K300" s="752"/>
      <c r="L300" s="185"/>
      <c r="M300" s="185"/>
      <c r="N300" s="185"/>
      <c r="O300" s="185"/>
      <c r="P300" s="185"/>
      <c r="Q300" s="185"/>
      <c r="R300" s="185"/>
      <c r="S300" s="185"/>
      <c r="T300" s="185"/>
      <c r="U300" s="185"/>
    </row>
    <row r="301" spans="1:21">
      <c r="A301" s="185"/>
      <c r="B301" s="661"/>
      <c r="C301" s="185"/>
      <c r="D301" s="185"/>
      <c r="E301" s="185"/>
      <c r="F301" s="185"/>
      <c r="G301" s="186"/>
      <c r="H301" s="185"/>
      <c r="I301" s="185"/>
      <c r="J301" s="752"/>
      <c r="K301" s="752"/>
      <c r="L301" s="185"/>
      <c r="M301" s="185"/>
      <c r="N301" s="185"/>
      <c r="O301" s="185"/>
      <c r="P301" s="185"/>
      <c r="Q301" s="185"/>
      <c r="R301" s="185"/>
      <c r="S301" s="185"/>
      <c r="T301" s="185"/>
      <c r="U301" s="185"/>
    </row>
    <row r="302" spans="1:21">
      <c r="A302" s="185"/>
      <c r="B302" s="661"/>
      <c r="C302" s="185"/>
      <c r="D302" s="185"/>
      <c r="E302" s="185"/>
      <c r="F302" s="185"/>
      <c r="G302" s="186"/>
      <c r="H302" s="185"/>
      <c r="I302" s="185"/>
      <c r="J302" s="752"/>
      <c r="K302" s="752"/>
      <c r="L302" s="185"/>
      <c r="M302" s="185"/>
      <c r="N302" s="185"/>
      <c r="O302" s="185"/>
      <c r="P302" s="185"/>
      <c r="Q302" s="185"/>
      <c r="R302" s="185"/>
      <c r="S302" s="185"/>
      <c r="T302" s="185"/>
      <c r="U302" s="185"/>
    </row>
    <row r="303" spans="1:21">
      <c r="A303" s="185"/>
      <c r="B303" s="661"/>
      <c r="C303" s="185"/>
      <c r="D303" s="185"/>
      <c r="E303" s="185"/>
      <c r="F303" s="185"/>
      <c r="G303" s="186"/>
      <c r="H303" s="185"/>
      <c r="I303" s="185"/>
      <c r="J303" s="752"/>
      <c r="K303" s="752"/>
      <c r="L303" s="185"/>
      <c r="M303" s="185"/>
      <c r="N303" s="185"/>
      <c r="O303" s="185"/>
      <c r="P303" s="185"/>
      <c r="Q303" s="185"/>
      <c r="R303" s="185"/>
      <c r="S303" s="185"/>
      <c r="T303" s="185"/>
      <c r="U303" s="185"/>
    </row>
    <row r="304" spans="1:21">
      <c r="A304" s="185"/>
      <c r="B304" s="661"/>
      <c r="C304" s="185"/>
      <c r="D304" s="185"/>
      <c r="E304" s="185"/>
      <c r="F304" s="185"/>
      <c r="G304" s="186"/>
      <c r="H304" s="185"/>
      <c r="I304" s="185"/>
      <c r="J304" s="752"/>
      <c r="K304" s="752"/>
      <c r="L304" s="185"/>
      <c r="M304" s="185"/>
      <c r="N304" s="185"/>
      <c r="O304" s="185"/>
      <c r="P304" s="185"/>
      <c r="Q304" s="185"/>
      <c r="R304" s="185"/>
      <c r="S304" s="185"/>
      <c r="T304" s="185"/>
      <c r="U304" s="185"/>
    </row>
    <row r="305" spans="1:21">
      <c r="A305" s="185"/>
      <c r="B305" s="661"/>
      <c r="C305" s="185"/>
      <c r="D305" s="185"/>
      <c r="E305" s="185"/>
      <c r="F305" s="185"/>
      <c r="G305" s="186"/>
      <c r="H305" s="185"/>
      <c r="I305" s="185"/>
      <c r="J305" s="752"/>
      <c r="K305" s="752"/>
      <c r="L305" s="185"/>
      <c r="M305" s="185"/>
      <c r="N305" s="185"/>
      <c r="O305" s="185"/>
      <c r="P305" s="185"/>
      <c r="Q305" s="185"/>
      <c r="R305" s="185"/>
      <c r="S305" s="185"/>
      <c r="T305" s="185"/>
      <c r="U305" s="185"/>
    </row>
    <row r="306" spans="1:21">
      <c r="A306" s="185"/>
      <c r="B306" s="661"/>
      <c r="C306" s="185"/>
      <c r="D306" s="185"/>
      <c r="E306" s="185"/>
      <c r="F306" s="185"/>
      <c r="G306" s="186"/>
      <c r="H306" s="185"/>
      <c r="I306" s="185"/>
      <c r="J306" s="752"/>
      <c r="K306" s="752"/>
      <c r="L306" s="185"/>
      <c r="M306" s="185"/>
      <c r="N306" s="185"/>
      <c r="O306" s="185"/>
      <c r="P306" s="185"/>
      <c r="Q306" s="185"/>
      <c r="R306" s="185"/>
      <c r="S306" s="185"/>
      <c r="T306" s="185"/>
      <c r="U306" s="185"/>
    </row>
    <row r="307" spans="1:21">
      <c r="A307" s="185"/>
      <c r="B307" s="661"/>
      <c r="C307" s="185"/>
      <c r="D307" s="185"/>
      <c r="E307" s="185"/>
      <c r="F307" s="185"/>
      <c r="G307" s="186"/>
      <c r="H307" s="185"/>
      <c r="I307" s="185"/>
      <c r="J307" s="752"/>
      <c r="K307" s="752"/>
      <c r="L307" s="185"/>
      <c r="M307" s="185"/>
      <c r="N307" s="185"/>
      <c r="O307" s="185"/>
      <c r="P307" s="185"/>
      <c r="Q307" s="185"/>
      <c r="R307" s="185"/>
      <c r="S307" s="185"/>
      <c r="T307" s="185"/>
      <c r="U307" s="185"/>
    </row>
    <row r="308" spans="1:21">
      <c r="A308" s="185"/>
      <c r="B308" s="661"/>
      <c r="C308" s="185"/>
      <c r="D308" s="185"/>
      <c r="E308" s="185"/>
      <c r="F308" s="185"/>
      <c r="G308" s="186"/>
      <c r="H308" s="185"/>
      <c r="I308" s="185"/>
      <c r="J308" s="752"/>
      <c r="K308" s="752"/>
      <c r="L308" s="185"/>
      <c r="M308" s="185"/>
      <c r="N308" s="185"/>
      <c r="O308" s="185"/>
      <c r="P308" s="185"/>
      <c r="Q308" s="185"/>
      <c r="R308" s="185"/>
      <c r="S308" s="185"/>
      <c r="T308" s="185"/>
      <c r="U308" s="185"/>
    </row>
    <row r="309" spans="1:21">
      <c r="A309" s="185"/>
      <c r="B309" s="661"/>
      <c r="C309" s="185"/>
      <c r="D309" s="185"/>
      <c r="E309" s="185"/>
      <c r="F309" s="185"/>
      <c r="G309" s="186"/>
      <c r="H309" s="185"/>
      <c r="I309" s="185"/>
      <c r="J309" s="752"/>
      <c r="K309" s="752"/>
      <c r="L309" s="185"/>
      <c r="M309" s="185"/>
      <c r="N309" s="185"/>
      <c r="O309" s="185"/>
      <c r="P309" s="185"/>
      <c r="Q309" s="185"/>
      <c r="R309" s="185"/>
      <c r="S309" s="185"/>
      <c r="T309" s="185"/>
      <c r="U309" s="185"/>
    </row>
    <row r="310" spans="1:21">
      <c r="A310" s="185"/>
      <c r="B310" s="661"/>
      <c r="C310" s="185"/>
      <c r="D310" s="185"/>
      <c r="E310" s="185"/>
      <c r="F310" s="185"/>
      <c r="G310" s="186"/>
      <c r="H310" s="185"/>
      <c r="I310" s="185"/>
      <c r="J310" s="752"/>
      <c r="K310" s="752"/>
      <c r="L310" s="185"/>
      <c r="M310" s="185"/>
      <c r="N310" s="185"/>
      <c r="O310" s="185"/>
      <c r="P310" s="185"/>
      <c r="Q310" s="185"/>
      <c r="R310" s="185"/>
      <c r="S310" s="185"/>
      <c r="T310" s="185"/>
      <c r="U310" s="185"/>
    </row>
    <row r="311" spans="1:21">
      <c r="A311" s="185"/>
      <c r="B311" s="661"/>
      <c r="C311" s="185"/>
      <c r="D311" s="185"/>
      <c r="E311" s="185"/>
      <c r="F311" s="185"/>
      <c r="G311" s="186"/>
      <c r="H311" s="185"/>
      <c r="I311" s="185"/>
      <c r="J311" s="752"/>
      <c r="K311" s="752"/>
      <c r="L311" s="185"/>
      <c r="M311" s="185"/>
      <c r="N311" s="185"/>
      <c r="O311" s="185"/>
      <c r="P311" s="185"/>
      <c r="Q311" s="185"/>
      <c r="R311" s="185"/>
      <c r="S311" s="185"/>
      <c r="T311" s="185"/>
      <c r="U311" s="185"/>
    </row>
    <row r="312" spans="1:21">
      <c r="A312" s="185"/>
      <c r="B312" s="661"/>
      <c r="C312" s="185"/>
      <c r="D312" s="185"/>
      <c r="E312" s="185"/>
      <c r="F312" s="185"/>
      <c r="G312" s="186"/>
      <c r="H312" s="185"/>
      <c r="I312" s="185"/>
      <c r="J312" s="752"/>
      <c r="K312" s="752"/>
      <c r="L312" s="185"/>
      <c r="M312" s="185"/>
      <c r="N312" s="185"/>
      <c r="O312" s="185"/>
      <c r="P312" s="185"/>
      <c r="Q312" s="185"/>
      <c r="R312" s="185"/>
      <c r="S312" s="185"/>
      <c r="T312" s="185"/>
      <c r="U312" s="185"/>
    </row>
    <row r="313" spans="1:21">
      <c r="A313" s="185"/>
      <c r="B313" s="661"/>
      <c r="C313" s="185"/>
      <c r="D313" s="185"/>
      <c r="E313" s="185"/>
      <c r="F313" s="185"/>
      <c r="G313" s="186"/>
      <c r="H313" s="185"/>
      <c r="I313" s="185"/>
      <c r="J313" s="752"/>
      <c r="K313" s="752"/>
      <c r="L313" s="185"/>
      <c r="M313" s="185"/>
      <c r="N313" s="185"/>
      <c r="O313" s="185"/>
      <c r="P313" s="185"/>
      <c r="Q313" s="185"/>
      <c r="R313" s="185"/>
      <c r="S313" s="185"/>
      <c r="T313" s="185"/>
      <c r="U313" s="185"/>
    </row>
    <row r="314" spans="1:21">
      <c r="A314" s="185"/>
      <c r="B314" s="661"/>
      <c r="C314" s="185"/>
      <c r="D314" s="185"/>
      <c r="E314" s="185"/>
      <c r="F314" s="185"/>
      <c r="G314" s="186"/>
      <c r="H314" s="185"/>
      <c r="I314" s="185"/>
      <c r="J314" s="752"/>
      <c r="K314" s="752"/>
      <c r="L314" s="185"/>
      <c r="M314" s="185"/>
      <c r="N314" s="185"/>
      <c r="O314" s="185"/>
      <c r="P314" s="185"/>
      <c r="Q314" s="185"/>
      <c r="R314" s="185"/>
      <c r="S314" s="185"/>
      <c r="T314" s="185"/>
      <c r="U314" s="185"/>
    </row>
    <row r="315" spans="1:21">
      <c r="A315" s="185"/>
      <c r="B315" s="661"/>
      <c r="C315" s="185"/>
      <c r="D315" s="185"/>
      <c r="E315" s="185"/>
      <c r="F315" s="185"/>
      <c r="G315" s="186"/>
      <c r="H315" s="185"/>
      <c r="I315" s="185"/>
      <c r="J315" s="752"/>
      <c r="K315" s="752"/>
      <c r="L315" s="185"/>
      <c r="M315" s="185"/>
      <c r="N315" s="185"/>
      <c r="O315" s="185"/>
      <c r="P315" s="185"/>
      <c r="Q315" s="185"/>
      <c r="R315" s="185"/>
      <c r="S315" s="185"/>
      <c r="T315" s="185"/>
      <c r="U315" s="185"/>
    </row>
    <row r="316" spans="1:21">
      <c r="A316" s="185"/>
      <c r="B316" s="661"/>
      <c r="C316" s="185"/>
      <c r="D316" s="185"/>
      <c r="E316" s="185"/>
      <c r="F316" s="185"/>
      <c r="G316" s="186"/>
      <c r="H316" s="185"/>
      <c r="I316" s="185"/>
      <c r="J316" s="752"/>
      <c r="K316" s="752"/>
      <c r="L316" s="185"/>
      <c r="M316" s="185"/>
      <c r="N316" s="185"/>
      <c r="O316" s="185"/>
      <c r="P316" s="185"/>
      <c r="Q316" s="185"/>
      <c r="R316" s="185"/>
      <c r="S316" s="185"/>
      <c r="T316" s="185"/>
      <c r="U316" s="185"/>
    </row>
    <row r="317" spans="1:21">
      <c r="A317" s="185"/>
      <c r="B317" s="661"/>
      <c r="C317" s="185"/>
      <c r="D317" s="185"/>
      <c r="E317" s="185"/>
      <c r="F317" s="185"/>
      <c r="G317" s="186"/>
      <c r="H317" s="185"/>
      <c r="I317" s="185"/>
      <c r="J317" s="752"/>
      <c r="K317" s="752"/>
      <c r="L317" s="185"/>
      <c r="M317" s="185"/>
      <c r="N317" s="185"/>
      <c r="O317" s="185"/>
      <c r="P317" s="185"/>
      <c r="Q317" s="185"/>
      <c r="R317" s="185"/>
      <c r="S317" s="185"/>
      <c r="T317" s="185"/>
      <c r="U317" s="185"/>
    </row>
    <row r="318" spans="1:21">
      <c r="A318" s="185"/>
      <c r="B318" s="661"/>
      <c r="C318" s="185"/>
      <c r="D318" s="185"/>
      <c r="E318" s="185"/>
      <c r="F318" s="185"/>
      <c r="G318" s="186"/>
      <c r="H318" s="185"/>
      <c r="I318" s="185"/>
      <c r="J318" s="752"/>
      <c r="K318" s="752"/>
      <c r="L318" s="185"/>
      <c r="M318" s="185"/>
      <c r="N318" s="185"/>
      <c r="O318" s="185"/>
      <c r="P318" s="185"/>
      <c r="Q318" s="185"/>
      <c r="R318" s="185"/>
      <c r="S318" s="185"/>
      <c r="T318" s="185"/>
      <c r="U318" s="185"/>
    </row>
    <row r="319" spans="1:21">
      <c r="A319" s="185"/>
      <c r="B319" s="661"/>
      <c r="C319" s="185"/>
      <c r="D319" s="185"/>
      <c r="E319" s="185"/>
      <c r="F319" s="185"/>
      <c r="G319" s="186"/>
      <c r="H319" s="185"/>
      <c r="I319" s="185"/>
      <c r="J319" s="752"/>
      <c r="K319" s="752"/>
      <c r="L319" s="185"/>
      <c r="M319" s="185"/>
      <c r="N319" s="185"/>
      <c r="O319" s="185"/>
      <c r="P319" s="185"/>
      <c r="Q319" s="185"/>
      <c r="R319" s="185"/>
      <c r="S319" s="185"/>
      <c r="T319" s="185"/>
      <c r="U319" s="185"/>
    </row>
    <row r="320" spans="1:21">
      <c r="A320" s="185"/>
      <c r="B320" s="661"/>
      <c r="C320" s="185"/>
      <c r="D320" s="185"/>
      <c r="E320" s="185"/>
      <c r="F320" s="185"/>
      <c r="G320" s="186"/>
      <c r="H320" s="185"/>
      <c r="I320" s="185"/>
      <c r="J320" s="752"/>
      <c r="K320" s="752"/>
      <c r="L320" s="185"/>
      <c r="M320" s="185"/>
      <c r="N320" s="185"/>
      <c r="O320" s="185"/>
      <c r="P320" s="185"/>
      <c r="Q320" s="185"/>
      <c r="R320" s="185"/>
      <c r="S320" s="185"/>
      <c r="T320" s="185"/>
      <c r="U320" s="185"/>
    </row>
    <row r="321" spans="1:21">
      <c r="A321" s="185"/>
      <c r="B321" s="661"/>
      <c r="C321" s="185"/>
      <c r="D321" s="185"/>
      <c r="E321" s="185"/>
      <c r="F321" s="185"/>
      <c r="G321" s="186"/>
      <c r="H321" s="185"/>
      <c r="I321" s="185"/>
      <c r="J321" s="752"/>
      <c r="K321" s="752"/>
      <c r="L321" s="185"/>
      <c r="M321" s="185"/>
      <c r="N321" s="185"/>
      <c r="O321" s="185"/>
      <c r="P321" s="185"/>
      <c r="Q321" s="185"/>
      <c r="R321" s="185"/>
      <c r="S321" s="185"/>
      <c r="T321" s="185"/>
      <c r="U321" s="185"/>
    </row>
    <row r="322" spans="1:21">
      <c r="A322" s="185"/>
      <c r="B322" s="661"/>
      <c r="C322" s="185"/>
      <c r="D322" s="185"/>
      <c r="E322" s="185"/>
      <c r="F322" s="185"/>
      <c r="G322" s="186"/>
      <c r="H322" s="185"/>
      <c r="I322" s="185"/>
      <c r="J322" s="752"/>
      <c r="K322" s="752"/>
      <c r="L322" s="185"/>
      <c r="M322" s="185"/>
      <c r="N322" s="185"/>
      <c r="O322" s="185"/>
      <c r="P322" s="185"/>
      <c r="Q322" s="185"/>
      <c r="R322" s="185"/>
      <c r="S322" s="185"/>
      <c r="T322" s="185"/>
      <c r="U322" s="185"/>
    </row>
    <row r="323" spans="1:21">
      <c r="A323" s="185"/>
      <c r="B323" s="661"/>
      <c r="C323" s="185"/>
      <c r="D323" s="185"/>
      <c r="E323" s="185"/>
      <c r="F323" s="185"/>
      <c r="G323" s="186"/>
      <c r="H323" s="185"/>
      <c r="I323" s="185"/>
      <c r="J323" s="752"/>
      <c r="K323" s="752"/>
      <c r="L323" s="185"/>
      <c r="M323" s="185"/>
      <c r="N323" s="185"/>
      <c r="O323" s="185"/>
      <c r="P323" s="185"/>
      <c r="Q323" s="185"/>
      <c r="R323" s="185"/>
      <c r="S323" s="185"/>
      <c r="T323" s="185"/>
      <c r="U323" s="185"/>
    </row>
    <row r="324" spans="1:21">
      <c r="A324" s="185"/>
      <c r="B324" s="661"/>
      <c r="C324" s="185"/>
      <c r="D324" s="185"/>
      <c r="E324" s="185"/>
      <c r="F324" s="185"/>
      <c r="G324" s="186"/>
      <c r="H324" s="185"/>
      <c r="I324" s="185"/>
      <c r="J324" s="752"/>
      <c r="K324" s="752"/>
      <c r="L324" s="185"/>
      <c r="M324" s="185"/>
      <c r="N324" s="185"/>
      <c r="O324" s="185"/>
      <c r="P324" s="185"/>
      <c r="Q324" s="185"/>
      <c r="R324" s="185"/>
      <c r="S324" s="185"/>
      <c r="T324" s="185"/>
      <c r="U324" s="185"/>
    </row>
    <row r="325" spans="1:21">
      <c r="A325" s="185"/>
      <c r="B325" s="661"/>
      <c r="C325" s="185"/>
      <c r="D325" s="185"/>
      <c r="E325" s="185"/>
      <c r="F325" s="185"/>
      <c r="G325" s="186"/>
      <c r="H325" s="185"/>
      <c r="I325" s="185"/>
      <c r="J325" s="752"/>
      <c r="K325" s="752"/>
      <c r="L325" s="185"/>
      <c r="M325" s="185"/>
      <c r="N325" s="185"/>
      <c r="O325" s="185"/>
      <c r="P325" s="185"/>
      <c r="Q325" s="185"/>
      <c r="R325" s="185"/>
      <c r="S325" s="185"/>
      <c r="T325" s="185"/>
      <c r="U325" s="185"/>
    </row>
    <row r="326" spans="1:21">
      <c r="A326" s="185"/>
      <c r="B326" s="661"/>
      <c r="C326" s="185"/>
      <c r="D326" s="185"/>
      <c r="E326" s="185"/>
      <c r="F326" s="185"/>
      <c r="G326" s="186"/>
      <c r="H326" s="185"/>
      <c r="I326" s="185"/>
      <c r="J326" s="752"/>
      <c r="K326" s="752"/>
      <c r="L326" s="185"/>
      <c r="M326" s="185"/>
      <c r="N326" s="185"/>
      <c r="O326" s="185"/>
      <c r="P326" s="185"/>
      <c r="Q326" s="185"/>
      <c r="R326" s="185"/>
      <c r="S326" s="185"/>
      <c r="T326" s="185"/>
      <c r="U326" s="185"/>
    </row>
    <row r="327" spans="1:21">
      <c r="A327" s="185"/>
      <c r="B327" s="661"/>
      <c r="C327" s="185"/>
      <c r="D327" s="185"/>
      <c r="E327" s="185"/>
      <c r="F327" s="185"/>
      <c r="G327" s="186"/>
      <c r="H327" s="185"/>
      <c r="I327" s="185"/>
      <c r="J327" s="752"/>
      <c r="K327" s="752"/>
      <c r="L327" s="185"/>
      <c r="M327" s="185"/>
      <c r="N327" s="185"/>
      <c r="O327" s="185"/>
      <c r="P327" s="185"/>
      <c r="Q327" s="185"/>
      <c r="R327" s="185"/>
      <c r="S327" s="185"/>
      <c r="T327" s="185"/>
      <c r="U327" s="185"/>
    </row>
    <row r="328" spans="1:21">
      <c r="A328" s="185"/>
      <c r="B328" s="661"/>
      <c r="C328" s="185"/>
      <c r="D328" s="185"/>
      <c r="E328" s="185"/>
      <c r="F328" s="185"/>
      <c r="G328" s="186"/>
      <c r="H328" s="185"/>
      <c r="I328" s="185"/>
      <c r="J328" s="752"/>
      <c r="K328" s="752"/>
      <c r="L328" s="185"/>
      <c r="M328" s="185"/>
      <c r="N328" s="185"/>
      <c r="O328" s="185"/>
      <c r="P328" s="185"/>
      <c r="Q328" s="185"/>
      <c r="R328" s="185"/>
      <c r="S328" s="185"/>
      <c r="T328" s="185"/>
      <c r="U328" s="185"/>
    </row>
    <row r="329" spans="1:21">
      <c r="A329" s="185"/>
      <c r="B329" s="661"/>
      <c r="C329" s="185"/>
      <c r="D329" s="185"/>
      <c r="E329" s="185"/>
      <c r="F329" s="185"/>
      <c r="G329" s="186"/>
      <c r="H329" s="185"/>
      <c r="I329" s="185"/>
      <c r="J329" s="752"/>
      <c r="K329" s="752"/>
      <c r="L329" s="185"/>
      <c r="M329" s="185"/>
      <c r="N329" s="185"/>
      <c r="O329" s="185"/>
      <c r="P329" s="185"/>
      <c r="Q329" s="185"/>
      <c r="R329" s="185"/>
      <c r="S329" s="185"/>
      <c r="T329" s="185"/>
      <c r="U329" s="185"/>
    </row>
    <row r="330" spans="1:21">
      <c r="A330" s="185"/>
      <c r="B330" s="661"/>
      <c r="C330" s="185"/>
      <c r="D330" s="185"/>
      <c r="E330" s="185"/>
      <c r="F330" s="185"/>
      <c r="G330" s="186"/>
      <c r="H330" s="185"/>
      <c r="I330" s="185"/>
      <c r="J330" s="752"/>
      <c r="K330" s="752"/>
      <c r="L330" s="185"/>
      <c r="M330" s="185"/>
      <c r="N330" s="185"/>
      <c r="O330" s="185"/>
      <c r="P330" s="185"/>
      <c r="Q330" s="185"/>
      <c r="R330" s="185"/>
      <c r="S330" s="185"/>
      <c r="T330" s="185"/>
      <c r="U330" s="185"/>
    </row>
    <row r="331" spans="1:21">
      <c r="A331" s="185"/>
      <c r="B331" s="661"/>
      <c r="C331" s="185"/>
      <c r="D331" s="185"/>
      <c r="E331" s="185"/>
      <c r="F331" s="185"/>
      <c r="G331" s="186"/>
      <c r="H331" s="185"/>
      <c r="I331" s="185"/>
      <c r="J331" s="752"/>
      <c r="K331" s="752"/>
      <c r="L331" s="185"/>
      <c r="M331" s="185"/>
      <c r="N331" s="185"/>
      <c r="O331" s="185"/>
      <c r="P331" s="185"/>
      <c r="Q331" s="185"/>
      <c r="R331" s="185"/>
      <c r="S331" s="185"/>
      <c r="T331" s="185"/>
      <c r="U331" s="185"/>
    </row>
    <row r="332" spans="1:21">
      <c r="A332" s="185"/>
      <c r="B332" s="661"/>
      <c r="C332" s="185"/>
      <c r="D332" s="185"/>
      <c r="E332" s="185"/>
      <c r="F332" s="185"/>
      <c r="G332" s="186"/>
      <c r="H332" s="185"/>
      <c r="I332" s="185"/>
      <c r="J332" s="752"/>
      <c r="K332" s="752"/>
      <c r="L332" s="185"/>
      <c r="M332" s="185"/>
      <c r="N332" s="185"/>
      <c r="O332" s="185"/>
      <c r="P332" s="185"/>
      <c r="Q332" s="185"/>
      <c r="R332" s="185"/>
      <c r="S332" s="185"/>
      <c r="T332" s="185"/>
      <c r="U332" s="185"/>
    </row>
    <row r="333" spans="1:21">
      <c r="A333" s="185"/>
      <c r="B333" s="661"/>
      <c r="C333" s="185"/>
      <c r="D333" s="185"/>
      <c r="E333" s="185"/>
      <c r="F333" s="185"/>
      <c r="G333" s="186"/>
      <c r="H333" s="185"/>
      <c r="I333" s="185"/>
      <c r="J333" s="752"/>
      <c r="K333" s="752"/>
      <c r="L333" s="185"/>
      <c r="M333" s="185"/>
      <c r="N333" s="185"/>
      <c r="O333" s="185"/>
      <c r="P333" s="185"/>
      <c r="Q333" s="185"/>
      <c r="R333" s="185"/>
      <c r="S333" s="185"/>
      <c r="T333" s="185"/>
      <c r="U333" s="185"/>
    </row>
    <row r="334" spans="1:21">
      <c r="A334" s="185"/>
      <c r="B334" s="661"/>
      <c r="C334" s="185"/>
      <c r="D334" s="185"/>
      <c r="E334" s="185"/>
      <c r="F334" s="185"/>
      <c r="G334" s="186"/>
      <c r="H334" s="185"/>
      <c r="I334" s="185"/>
      <c r="J334" s="752"/>
      <c r="K334" s="752"/>
      <c r="L334" s="185"/>
      <c r="M334" s="185"/>
      <c r="N334" s="185"/>
      <c r="O334" s="185"/>
      <c r="P334" s="185"/>
      <c r="Q334" s="185"/>
      <c r="R334" s="185"/>
      <c r="S334" s="185"/>
      <c r="T334" s="185"/>
      <c r="U334" s="185"/>
    </row>
    <row r="335" spans="1:21">
      <c r="A335" s="185"/>
      <c r="B335" s="661"/>
      <c r="C335" s="185"/>
      <c r="D335" s="185"/>
      <c r="E335" s="185"/>
      <c r="F335" s="185"/>
      <c r="G335" s="186"/>
      <c r="H335" s="185"/>
      <c r="I335" s="185"/>
      <c r="J335" s="752"/>
      <c r="K335" s="752"/>
      <c r="L335" s="185"/>
      <c r="M335" s="185"/>
      <c r="N335" s="185"/>
      <c r="O335" s="185"/>
      <c r="P335" s="185"/>
      <c r="Q335" s="185"/>
      <c r="R335" s="185"/>
      <c r="S335" s="185"/>
      <c r="T335" s="185"/>
      <c r="U335" s="185"/>
    </row>
    <row r="336" spans="1:21">
      <c r="A336" s="185"/>
      <c r="B336" s="661"/>
      <c r="C336" s="185"/>
      <c r="D336" s="185"/>
      <c r="E336" s="185"/>
      <c r="F336" s="185"/>
      <c r="G336" s="186"/>
      <c r="H336" s="185"/>
      <c r="I336" s="185"/>
      <c r="J336" s="752"/>
      <c r="K336" s="752"/>
      <c r="L336" s="185"/>
      <c r="M336" s="185"/>
      <c r="N336" s="185"/>
      <c r="O336" s="185"/>
      <c r="P336" s="185"/>
      <c r="Q336" s="185"/>
      <c r="R336" s="185"/>
      <c r="S336" s="185"/>
      <c r="T336" s="185"/>
      <c r="U336" s="185"/>
    </row>
    <row r="337" spans="1:21">
      <c r="A337" s="185"/>
      <c r="B337" s="661"/>
      <c r="C337" s="185"/>
      <c r="D337" s="185"/>
      <c r="E337" s="185"/>
      <c r="F337" s="185"/>
      <c r="G337" s="186"/>
      <c r="H337" s="185"/>
      <c r="I337" s="185"/>
      <c r="J337" s="752"/>
      <c r="K337" s="752"/>
      <c r="L337" s="185"/>
      <c r="M337" s="185"/>
      <c r="N337" s="185"/>
      <c r="O337" s="185"/>
      <c r="P337" s="185"/>
      <c r="Q337" s="185"/>
      <c r="R337" s="185"/>
      <c r="S337" s="185"/>
      <c r="T337" s="185"/>
      <c r="U337" s="185"/>
    </row>
    <row r="338" spans="1:21">
      <c r="A338" s="185"/>
      <c r="B338" s="661"/>
      <c r="C338" s="185"/>
      <c r="D338" s="185"/>
      <c r="E338" s="185"/>
      <c r="F338" s="185"/>
      <c r="G338" s="186"/>
      <c r="H338" s="185"/>
      <c r="I338" s="185"/>
      <c r="J338" s="752"/>
      <c r="K338" s="752"/>
      <c r="L338" s="185"/>
      <c r="M338" s="185"/>
      <c r="N338" s="185"/>
      <c r="O338" s="185"/>
      <c r="P338" s="185"/>
      <c r="Q338" s="185"/>
      <c r="R338" s="185"/>
      <c r="S338" s="185"/>
      <c r="T338" s="185"/>
      <c r="U338" s="185"/>
    </row>
    <row r="339" spans="1:21">
      <c r="A339" s="185"/>
      <c r="B339" s="661"/>
      <c r="C339" s="185"/>
      <c r="D339" s="185"/>
      <c r="E339" s="185"/>
      <c r="F339" s="185"/>
      <c r="G339" s="186"/>
      <c r="H339" s="185"/>
      <c r="I339" s="185"/>
      <c r="J339" s="752"/>
      <c r="K339" s="752"/>
      <c r="L339" s="185"/>
      <c r="M339" s="185"/>
      <c r="N339" s="185"/>
      <c r="O339" s="185"/>
      <c r="P339" s="185"/>
      <c r="Q339" s="185"/>
      <c r="R339" s="185"/>
      <c r="S339" s="185"/>
      <c r="T339" s="185"/>
      <c r="U339" s="185"/>
    </row>
    <row r="340" spans="1:21">
      <c r="A340" s="185"/>
      <c r="B340" s="661"/>
      <c r="C340" s="185"/>
      <c r="D340" s="185"/>
      <c r="E340" s="185"/>
      <c r="F340" s="185"/>
      <c r="G340" s="186"/>
      <c r="H340" s="185"/>
      <c r="I340" s="185"/>
      <c r="J340" s="752"/>
      <c r="K340" s="752"/>
      <c r="L340" s="185"/>
      <c r="M340" s="185"/>
      <c r="N340" s="185"/>
      <c r="O340" s="185"/>
      <c r="P340" s="185"/>
      <c r="Q340" s="185"/>
      <c r="R340" s="185"/>
      <c r="S340" s="185"/>
      <c r="T340" s="185"/>
      <c r="U340" s="185"/>
    </row>
    <row r="341" spans="1:21">
      <c r="A341" s="185"/>
      <c r="B341" s="661"/>
      <c r="C341" s="185"/>
      <c r="D341" s="185"/>
      <c r="E341" s="185"/>
      <c r="F341" s="185"/>
      <c r="G341" s="186"/>
      <c r="H341" s="185"/>
      <c r="I341" s="185"/>
      <c r="J341" s="752"/>
      <c r="K341" s="752"/>
      <c r="L341" s="185"/>
      <c r="M341" s="185"/>
      <c r="N341" s="185"/>
      <c r="O341" s="185"/>
      <c r="P341" s="185"/>
      <c r="Q341" s="185"/>
      <c r="R341" s="185"/>
      <c r="S341" s="185"/>
      <c r="T341" s="185"/>
      <c r="U341" s="185"/>
    </row>
    <row r="342" spans="1:21">
      <c r="A342" s="185"/>
      <c r="B342" s="661"/>
      <c r="C342" s="185"/>
      <c r="D342" s="185"/>
      <c r="E342" s="185"/>
      <c r="F342" s="185"/>
      <c r="G342" s="186"/>
      <c r="H342" s="185"/>
      <c r="I342" s="185"/>
      <c r="J342" s="752"/>
      <c r="K342" s="752"/>
      <c r="L342" s="185"/>
      <c r="M342" s="185"/>
      <c r="N342" s="185"/>
      <c r="O342" s="185"/>
      <c r="P342" s="185"/>
      <c r="Q342" s="185"/>
      <c r="R342" s="185"/>
      <c r="S342" s="185"/>
      <c r="T342" s="185"/>
      <c r="U342" s="185"/>
    </row>
    <row r="343" spans="1:21">
      <c r="A343" s="185"/>
      <c r="B343" s="661"/>
      <c r="C343" s="185"/>
      <c r="D343" s="185"/>
      <c r="E343" s="185"/>
      <c r="F343" s="185"/>
      <c r="G343" s="186"/>
      <c r="H343" s="185"/>
      <c r="I343" s="185"/>
      <c r="J343" s="752"/>
      <c r="K343" s="752"/>
      <c r="L343" s="185"/>
      <c r="M343" s="185"/>
      <c r="N343" s="185"/>
      <c r="O343" s="185"/>
      <c r="P343" s="185"/>
      <c r="Q343" s="185"/>
      <c r="R343" s="185"/>
      <c r="S343" s="185"/>
      <c r="T343" s="185"/>
      <c r="U343" s="185"/>
    </row>
    <row r="344" spans="1:21">
      <c r="A344" s="185"/>
      <c r="B344" s="661"/>
      <c r="C344" s="185"/>
      <c r="D344" s="185"/>
      <c r="E344" s="185"/>
      <c r="F344" s="185"/>
      <c r="G344" s="186"/>
      <c r="H344" s="185"/>
      <c r="I344" s="185"/>
      <c r="J344" s="752"/>
      <c r="K344" s="752"/>
      <c r="L344" s="185"/>
      <c r="M344" s="185"/>
      <c r="N344" s="185"/>
      <c r="O344" s="185"/>
      <c r="P344" s="185"/>
      <c r="Q344" s="185"/>
      <c r="R344" s="185"/>
      <c r="S344" s="185"/>
      <c r="T344" s="185"/>
      <c r="U344" s="185"/>
    </row>
    <row r="345" spans="1:21">
      <c r="A345" s="185"/>
      <c r="B345" s="661"/>
      <c r="C345" s="185"/>
      <c r="D345" s="185"/>
      <c r="E345" s="185"/>
      <c r="F345" s="185"/>
      <c r="G345" s="186"/>
      <c r="H345" s="185"/>
      <c r="I345" s="185"/>
      <c r="J345" s="752"/>
      <c r="K345" s="752"/>
      <c r="L345" s="185"/>
      <c r="M345" s="185"/>
      <c r="N345" s="185"/>
      <c r="O345" s="185"/>
      <c r="P345" s="185"/>
      <c r="Q345" s="185"/>
      <c r="R345" s="185"/>
      <c r="S345" s="185"/>
      <c r="T345" s="185"/>
      <c r="U345" s="185"/>
    </row>
    <row r="346" spans="1:21">
      <c r="A346" s="185"/>
      <c r="B346" s="661"/>
      <c r="C346" s="185"/>
      <c r="D346" s="185"/>
      <c r="E346" s="185"/>
      <c r="F346" s="185"/>
      <c r="G346" s="186"/>
      <c r="H346" s="185"/>
      <c r="I346" s="185"/>
      <c r="J346" s="752"/>
      <c r="K346" s="752"/>
      <c r="L346" s="185"/>
      <c r="M346" s="185"/>
      <c r="N346" s="185"/>
      <c r="O346" s="185"/>
      <c r="P346" s="185"/>
      <c r="Q346" s="185"/>
      <c r="R346" s="185"/>
      <c r="S346" s="185"/>
      <c r="T346" s="185"/>
      <c r="U346" s="185"/>
    </row>
    <row r="347" spans="1:21">
      <c r="A347" s="185"/>
      <c r="B347" s="661"/>
      <c r="C347" s="185"/>
      <c r="D347" s="185"/>
      <c r="E347" s="185"/>
      <c r="F347" s="185"/>
      <c r="G347" s="186"/>
      <c r="H347" s="185"/>
      <c r="I347" s="185"/>
      <c r="J347" s="752"/>
      <c r="K347" s="752"/>
      <c r="L347" s="185"/>
      <c r="M347" s="185"/>
      <c r="N347" s="185"/>
      <c r="O347" s="185"/>
      <c r="P347" s="185"/>
      <c r="Q347" s="185"/>
      <c r="R347" s="185"/>
      <c r="S347" s="185"/>
      <c r="T347" s="185"/>
      <c r="U347" s="185"/>
    </row>
    <row r="348" spans="1:21">
      <c r="A348" s="185"/>
      <c r="B348" s="661"/>
      <c r="C348" s="185"/>
      <c r="D348" s="185"/>
      <c r="E348" s="185"/>
      <c r="F348" s="185"/>
      <c r="G348" s="186"/>
      <c r="H348" s="185"/>
      <c r="I348" s="185"/>
      <c r="J348" s="752"/>
      <c r="K348" s="752"/>
      <c r="L348" s="185"/>
      <c r="M348" s="185"/>
      <c r="N348" s="185"/>
      <c r="O348" s="185"/>
      <c r="P348" s="185"/>
      <c r="Q348" s="185"/>
      <c r="R348" s="185"/>
      <c r="S348" s="185"/>
      <c r="T348" s="185"/>
      <c r="U348" s="185"/>
    </row>
    <row r="349" spans="1:21">
      <c r="A349" s="185"/>
      <c r="B349" s="661"/>
      <c r="C349" s="185"/>
      <c r="D349" s="185"/>
      <c r="E349" s="185"/>
      <c r="F349" s="185"/>
      <c r="G349" s="186"/>
      <c r="H349" s="185"/>
      <c r="I349" s="185"/>
      <c r="J349" s="752"/>
      <c r="K349" s="752"/>
      <c r="L349" s="185"/>
      <c r="M349" s="185"/>
      <c r="N349" s="185"/>
      <c r="O349" s="185"/>
      <c r="P349" s="185"/>
      <c r="Q349" s="185"/>
      <c r="R349" s="185"/>
      <c r="S349" s="185"/>
      <c r="T349" s="185"/>
      <c r="U349" s="185"/>
    </row>
    <row r="350" spans="1:21">
      <c r="A350" s="185"/>
      <c r="B350" s="661"/>
      <c r="C350" s="185"/>
      <c r="D350" s="185"/>
      <c r="E350" s="185"/>
      <c r="F350" s="185"/>
      <c r="G350" s="186"/>
      <c r="H350" s="185"/>
      <c r="I350" s="185"/>
      <c r="J350" s="752"/>
      <c r="K350" s="752"/>
      <c r="L350" s="185"/>
      <c r="M350" s="185"/>
      <c r="N350" s="185"/>
      <c r="O350" s="185"/>
      <c r="P350" s="185"/>
      <c r="Q350" s="185"/>
      <c r="R350" s="185"/>
      <c r="S350" s="185"/>
      <c r="T350" s="185"/>
      <c r="U350" s="185"/>
    </row>
    <row r="351" spans="1:21">
      <c r="A351" s="185"/>
      <c r="B351" s="661"/>
      <c r="C351" s="185"/>
      <c r="D351" s="185"/>
      <c r="E351" s="185"/>
      <c r="F351" s="185"/>
      <c r="G351" s="186"/>
      <c r="H351" s="185"/>
      <c r="I351" s="185"/>
      <c r="J351" s="752"/>
      <c r="K351" s="752"/>
      <c r="L351" s="185"/>
      <c r="M351" s="185"/>
      <c r="N351" s="185"/>
      <c r="O351" s="185"/>
      <c r="P351" s="185"/>
      <c r="Q351" s="185"/>
      <c r="R351" s="185"/>
      <c r="S351" s="185"/>
      <c r="T351" s="185"/>
      <c r="U351" s="185"/>
    </row>
    <row r="352" spans="1:21">
      <c r="A352" s="185"/>
      <c r="B352" s="661"/>
      <c r="C352" s="185"/>
      <c r="D352" s="185"/>
      <c r="E352" s="185"/>
      <c r="F352" s="185"/>
      <c r="G352" s="186"/>
      <c r="H352" s="185"/>
      <c r="I352" s="185"/>
      <c r="J352" s="752"/>
      <c r="K352" s="752"/>
      <c r="L352" s="185"/>
      <c r="M352" s="185"/>
      <c r="N352" s="185"/>
      <c r="O352" s="185"/>
      <c r="P352" s="185"/>
      <c r="Q352" s="185"/>
      <c r="R352" s="185"/>
      <c r="S352" s="185"/>
      <c r="T352" s="185"/>
      <c r="U352" s="185"/>
    </row>
    <row r="353" spans="1:21">
      <c r="A353" s="185"/>
      <c r="B353" s="661"/>
      <c r="C353" s="185"/>
      <c r="D353" s="185"/>
      <c r="E353" s="185"/>
      <c r="F353" s="185"/>
      <c r="G353" s="186"/>
      <c r="H353" s="185"/>
      <c r="I353" s="185"/>
      <c r="J353" s="752"/>
      <c r="K353" s="752"/>
      <c r="L353" s="185"/>
      <c r="M353" s="185"/>
      <c r="N353" s="185"/>
      <c r="O353" s="185"/>
      <c r="P353" s="185"/>
      <c r="Q353" s="185"/>
      <c r="R353" s="185"/>
      <c r="S353" s="185"/>
      <c r="T353" s="185"/>
      <c r="U353" s="185"/>
    </row>
    <row r="354" spans="1:21">
      <c r="A354" s="185"/>
      <c r="B354" s="661"/>
      <c r="C354" s="185"/>
      <c r="D354" s="185"/>
      <c r="E354" s="185"/>
      <c r="F354" s="185"/>
      <c r="G354" s="186"/>
      <c r="H354" s="185"/>
      <c r="I354" s="185"/>
      <c r="J354" s="752"/>
      <c r="K354" s="752"/>
      <c r="L354" s="185"/>
      <c r="M354" s="185"/>
      <c r="N354" s="185"/>
      <c r="O354" s="185"/>
      <c r="P354" s="185"/>
      <c r="Q354" s="185"/>
      <c r="R354" s="185"/>
      <c r="S354" s="185"/>
      <c r="T354" s="185"/>
      <c r="U354" s="185"/>
    </row>
    <row r="355" spans="1:21">
      <c r="A355" s="185"/>
      <c r="B355" s="661"/>
      <c r="C355" s="185"/>
      <c r="D355" s="185"/>
      <c r="E355" s="185"/>
      <c r="F355" s="185"/>
      <c r="G355" s="186"/>
      <c r="H355" s="185"/>
      <c r="I355" s="185"/>
      <c r="J355" s="752"/>
      <c r="K355" s="752"/>
      <c r="L355" s="185"/>
      <c r="M355" s="185"/>
      <c r="N355" s="185"/>
      <c r="O355" s="185"/>
      <c r="P355" s="185"/>
      <c r="Q355" s="185"/>
      <c r="R355" s="185"/>
      <c r="S355" s="185"/>
      <c r="T355" s="185"/>
      <c r="U355" s="185"/>
    </row>
    <row r="356" spans="1:21">
      <c r="A356" s="185"/>
      <c r="B356" s="661"/>
      <c r="C356" s="185"/>
      <c r="D356" s="185"/>
      <c r="E356" s="185"/>
      <c r="F356" s="185"/>
      <c r="G356" s="186"/>
      <c r="H356" s="185"/>
      <c r="I356" s="185"/>
      <c r="J356" s="752"/>
      <c r="K356" s="752"/>
      <c r="L356" s="185"/>
      <c r="M356" s="185"/>
      <c r="N356" s="185"/>
      <c r="O356" s="185"/>
      <c r="P356" s="185"/>
      <c r="Q356" s="185"/>
      <c r="R356" s="185"/>
      <c r="S356" s="185"/>
      <c r="T356" s="185"/>
      <c r="U356" s="185"/>
    </row>
    <row r="357" spans="1:21">
      <c r="A357" s="185"/>
      <c r="B357" s="661"/>
      <c r="C357" s="185"/>
      <c r="D357" s="185"/>
      <c r="E357" s="185"/>
      <c r="F357" s="185"/>
      <c r="G357" s="186"/>
      <c r="H357" s="185"/>
      <c r="I357" s="185"/>
      <c r="J357" s="752"/>
      <c r="K357" s="752"/>
      <c r="L357" s="185"/>
      <c r="M357" s="185"/>
      <c r="N357" s="185"/>
      <c r="O357" s="185"/>
      <c r="P357" s="185"/>
      <c r="Q357" s="185"/>
      <c r="R357" s="185"/>
      <c r="S357" s="185"/>
      <c r="T357" s="185"/>
      <c r="U357" s="185"/>
    </row>
    <row r="358" spans="1:21">
      <c r="A358" s="185"/>
      <c r="B358" s="661"/>
      <c r="C358" s="185"/>
      <c r="D358" s="185"/>
      <c r="E358" s="185"/>
      <c r="F358" s="185"/>
      <c r="G358" s="186"/>
      <c r="H358" s="185"/>
      <c r="I358" s="185"/>
      <c r="J358" s="752"/>
      <c r="K358" s="752"/>
      <c r="L358" s="185"/>
      <c r="M358" s="185"/>
      <c r="N358" s="185"/>
      <c r="O358" s="185"/>
      <c r="P358" s="185"/>
      <c r="Q358" s="185"/>
      <c r="R358" s="185"/>
      <c r="S358" s="185"/>
      <c r="T358" s="185"/>
      <c r="U358" s="185"/>
    </row>
    <row r="359" spans="1:21">
      <c r="A359" s="185"/>
      <c r="B359" s="661"/>
      <c r="C359" s="185"/>
      <c r="D359" s="185"/>
      <c r="E359" s="185"/>
      <c r="F359" s="185"/>
      <c r="G359" s="186"/>
      <c r="H359" s="185"/>
      <c r="I359" s="185"/>
      <c r="J359" s="752"/>
      <c r="K359" s="752"/>
      <c r="L359" s="185"/>
      <c r="M359" s="185"/>
      <c r="N359" s="185"/>
      <c r="O359" s="185"/>
      <c r="P359" s="185"/>
      <c r="Q359" s="185"/>
      <c r="R359" s="185"/>
      <c r="S359" s="185"/>
      <c r="T359" s="185"/>
      <c r="U359" s="185"/>
    </row>
    <row r="360" spans="1:21">
      <c r="A360" s="185"/>
      <c r="B360" s="661"/>
      <c r="C360" s="185"/>
      <c r="D360" s="185"/>
      <c r="E360" s="185"/>
      <c r="F360" s="185"/>
      <c r="G360" s="186"/>
      <c r="H360" s="185"/>
      <c r="I360" s="185"/>
      <c r="J360" s="752"/>
      <c r="K360" s="752"/>
      <c r="L360" s="185"/>
      <c r="M360" s="185"/>
      <c r="N360" s="185"/>
      <c r="O360" s="185"/>
      <c r="P360" s="185"/>
      <c r="Q360" s="185"/>
      <c r="R360" s="185"/>
      <c r="S360" s="185"/>
      <c r="T360" s="185"/>
      <c r="U360" s="185"/>
    </row>
    <row r="361" spans="1:21">
      <c r="A361" s="185"/>
      <c r="B361" s="661"/>
      <c r="C361" s="185"/>
      <c r="D361" s="185"/>
      <c r="E361" s="185"/>
      <c r="F361" s="185"/>
      <c r="G361" s="186"/>
      <c r="H361" s="185"/>
      <c r="I361" s="185"/>
      <c r="J361" s="752"/>
      <c r="K361" s="752"/>
      <c r="L361" s="185"/>
      <c r="M361" s="185"/>
      <c r="N361" s="185"/>
      <c r="O361" s="185"/>
      <c r="P361" s="185"/>
      <c r="Q361" s="185"/>
      <c r="R361" s="185"/>
      <c r="S361" s="185"/>
      <c r="T361" s="185"/>
      <c r="U361" s="185"/>
    </row>
    <row r="362" spans="1:21">
      <c r="A362" s="185"/>
      <c r="B362" s="661"/>
      <c r="C362" s="185"/>
      <c r="D362" s="185"/>
      <c r="E362" s="185"/>
      <c r="F362" s="185"/>
      <c r="G362" s="186"/>
      <c r="H362" s="185"/>
      <c r="I362" s="185"/>
      <c r="J362" s="752"/>
      <c r="K362" s="752"/>
      <c r="L362" s="185"/>
      <c r="M362" s="185"/>
      <c r="N362" s="185"/>
      <c r="O362" s="185"/>
      <c r="P362" s="185"/>
      <c r="Q362" s="185"/>
      <c r="R362" s="185"/>
      <c r="S362" s="185"/>
      <c r="T362" s="185"/>
      <c r="U362" s="185"/>
    </row>
    <row r="363" spans="1:21">
      <c r="A363" s="185"/>
      <c r="B363" s="661"/>
      <c r="C363" s="185"/>
      <c r="D363" s="185"/>
      <c r="E363" s="185"/>
      <c r="F363" s="185"/>
      <c r="G363" s="186"/>
      <c r="H363" s="185"/>
      <c r="I363" s="185"/>
      <c r="J363" s="752"/>
      <c r="K363" s="752"/>
      <c r="L363" s="185"/>
      <c r="M363" s="185"/>
      <c r="N363" s="185"/>
      <c r="O363" s="185"/>
      <c r="P363" s="185"/>
      <c r="Q363" s="185"/>
      <c r="R363" s="185"/>
      <c r="S363" s="185"/>
      <c r="T363" s="185"/>
      <c r="U363" s="185"/>
    </row>
    <row r="364" spans="1:21">
      <c r="A364" s="185"/>
      <c r="B364" s="661"/>
      <c r="C364" s="185"/>
      <c r="D364" s="185"/>
      <c r="E364" s="185"/>
      <c r="F364" s="185"/>
      <c r="G364" s="186"/>
      <c r="H364" s="185"/>
      <c r="I364" s="185"/>
      <c r="J364" s="752"/>
      <c r="K364" s="752"/>
      <c r="L364" s="185"/>
      <c r="M364" s="185"/>
      <c r="N364" s="185"/>
      <c r="O364" s="185"/>
      <c r="P364" s="185"/>
      <c r="Q364" s="185"/>
      <c r="R364" s="185"/>
      <c r="S364" s="185"/>
      <c r="T364" s="185"/>
      <c r="U364" s="185"/>
    </row>
    <row r="365" spans="1:21">
      <c r="A365" s="185"/>
      <c r="B365" s="661"/>
      <c r="C365" s="185"/>
      <c r="D365" s="185"/>
      <c r="E365" s="185"/>
      <c r="F365" s="185"/>
      <c r="G365" s="186"/>
      <c r="H365" s="185"/>
      <c r="I365" s="185"/>
      <c r="J365" s="752"/>
      <c r="K365" s="752"/>
      <c r="L365" s="185"/>
      <c r="M365" s="185"/>
      <c r="N365" s="185"/>
      <c r="O365" s="185"/>
      <c r="P365" s="185"/>
      <c r="Q365" s="185"/>
      <c r="R365" s="185"/>
      <c r="S365" s="185"/>
      <c r="T365" s="185"/>
      <c r="U365" s="185"/>
    </row>
    <row r="366" spans="1:21">
      <c r="A366" s="185"/>
      <c r="B366" s="661"/>
      <c r="C366" s="185"/>
      <c r="D366" s="185"/>
      <c r="E366" s="185"/>
      <c r="F366" s="185"/>
      <c r="G366" s="186"/>
      <c r="H366" s="185"/>
      <c r="I366" s="185"/>
      <c r="J366" s="752"/>
      <c r="K366" s="752"/>
      <c r="L366" s="185"/>
      <c r="M366" s="185"/>
      <c r="N366" s="185"/>
      <c r="O366" s="185"/>
      <c r="P366" s="185"/>
      <c r="Q366" s="185"/>
      <c r="R366" s="185"/>
      <c r="S366" s="185"/>
      <c r="T366" s="185"/>
      <c r="U366" s="185"/>
    </row>
  </sheetData>
  <mergeCells count="6">
    <mergeCell ref="D58:G58"/>
    <mergeCell ref="D2:G2"/>
    <mergeCell ref="D4:G4"/>
    <mergeCell ref="D5:G5"/>
    <mergeCell ref="D56:G56"/>
    <mergeCell ref="D57:G57"/>
  </mergeCells>
  <conditionalFormatting sqref="G10:G16 G26:G27 G77 G84:G85 G90 G18 G20">
    <cfRule type="expression" dxfId="31" priority="11" stopIfTrue="1">
      <formula>$G$7="Estimated"</formula>
    </cfRule>
  </conditionalFormatting>
  <conditionalFormatting sqref="G17">
    <cfRule type="expression" dxfId="30" priority="10" stopIfTrue="1">
      <formula>$G$7="Estimated"</formula>
    </cfRule>
  </conditionalFormatting>
  <conditionalFormatting sqref="G21">
    <cfRule type="expression" dxfId="29" priority="9" stopIfTrue="1">
      <formula>$G$7="Estimated"</formula>
    </cfRule>
  </conditionalFormatting>
  <conditionalFormatting sqref="G19">
    <cfRule type="expression" dxfId="28" priority="8" stopIfTrue="1">
      <formula>$G$7="Estimated"</formula>
    </cfRule>
  </conditionalFormatting>
  <conditionalFormatting sqref="G25">
    <cfRule type="expression" dxfId="27" priority="7" stopIfTrue="1">
      <formula>$G$7="Estimated"</formula>
    </cfRule>
  </conditionalFormatting>
  <conditionalFormatting sqref="G28:G36">
    <cfRule type="expression" dxfId="26" priority="6" stopIfTrue="1">
      <formula>$G$7="Estimated"</formula>
    </cfRule>
  </conditionalFormatting>
  <conditionalFormatting sqref="G40:G47">
    <cfRule type="expression" dxfId="25" priority="5" stopIfTrue="1">
      <formula>$G$7="Estimated"</formula>
    </cfRule>
  </conditionalFormatting>
  <conditionalFormatting sqref="G63:G76">
    <cfRule type="expression" dxfId="24" priority="4" stopIfTrue="1">
      <formula>$G$7="Estimated"</formula>
    </cfRule>
  </conditionalFormatting>
  <conditionalFormatting sqref="G81:G83">
    <cfRule type="expression" dxfId="23" priority="3" stopIfTrue="1">
      <formula>$G$7="Estimated"</formula>
    </cfRule>
  </conditionalFormatting>
  <conditionalFormatting sqref="G92:G103">
    <cfRule type="expression" dxfId="22" priority="2" stopIfTrue="1">
      <formula>$G$7="Estimated"</formula>
    </cfRule>
  </conditionalFormatting>
  <conditionalFormatting sqref="G86">
    <cfRule type="expression" dxfId="21" priority="1" stopIfTrue="1">
      <formula>$G$7="Estimated"</formula>
    </cfRule>
  </conditionalFormatting>
  <hyperlinks>
    <hyperlink ref="J25" location="Attach19!A1" tooltip="Click to open Notes" display="Attach19!A1"/>
    <hyperlink ref="J31" location="Attach19!A1" tooltip="Click to open Notes" display="Attach19!A1"/>
    <hyperlink ref="J32" location="Attach19!A1" tooltip="Click to open Notes" display="Attach19!A1"/>
    <hyperlink ref="J33" location="Attach19!A1" tooltip="Click to open Notes" display="Attach19!A1"/>
    <hyperlink ref="J34" location="Attach19!A1" tooltip="Click to open Notes" display="Attach19!A1"/>
    <hyperlink ref="J35" location="Attach19!A1" tooltip="Click to open Notes" display="Attach19!A1"/>
    <hyperlink ref="J36" location="Attach19!A1" tooltip="Click to open Notes" display="Attach19!A1"/>
    <hyperlink ref="J63" location="Attach19!A1" tooltip="Click to open Notes" display="Attach19!A1"/>
    <hyperlink ref="K63" location="Attach19!A1" tooltip="Click to open Notes" display="Attach19!A1"/>
    <hyperlink ref="J70:K70" location="Attach18!A1" tooltip="Click to open notes" display="Attach18!A1"/>
    <hyperlink ref="K25" location="Attach19!A1" tooltip="Click to open Notes" display="Attach19!A1"/>
    <hyperlink ref="K31" location="Attach19!A1" tooltip="Click to open Notes" display="Attach19!A1"/>
    <hyperlink ref="J26:J30" location="Attach18!A1" tooltip="Click to open Notes" display="Attach18!A1"/>
    <hyperlink ref="K26:K29" location="Attach18!A1" tooltip="Click to open Notes" display="Attach18!A1"/>
    <hyperlink ref="K30" location="Attach19!A1" tooltip="Click to open Notes" display="Attach19!A1"/>
    <hyperlink ref="K32:K36" location="Attach18!A1" tooltip="Click to open Notes" display="Attach18!A1"/>
    <hyperlink ref="J40:J47" location="Attach18!A1" tooltip="Click to open Notes" display="Attach18!A1"/>
    <hyperlink ref="K40:K47" location="Attach18!A1" tooltip="Click to open Notes" display="Attach18!A1"/>
    <hyperlink ref="K11:K21" location="Attach18!A1" tooltip="Click to open notes" display="Attach18!A1"/>
    <hyperlink ref="J93:J103" location="Attach18!A1" tooltip="Click to open Notes" display="Attach18!A1"/>
    <hyperlink ref="K90" location="Attach19!A1" tooltip="Click to open Notes" display="Attach19!A1"/>
    <hyperlink ref="K64:K77" location="Attach18!A1" tooltip="Click to open Notes" display="Attach18!A1"/>
    <hyperlink ref="K81" location="Attach19!A1" tooltip="Click to open Notes" display="Attach19!A1"/>
    <hyperlink ref="K82:K85" location="Attach18!A1" tooltip="Click to open Notes" display="Attach18!A1"/>
    <hyperlink ref="K92" location="Attach19!A1" tooltip="Click to open Notes" display="Attach19!A1"/>
    <hyperlink ref="K93:K103" location="Attach18!A1" tooltip="Click to open Notes" display="Attach18!A1"/>
    <hyperlink ref="J81" location="Attach19!A1" tooltip="Click to open Notes" display="Attach19!A1"/>
    <hyperlink ref="J82:J85" location="Attach18!A1" tooltip="Click to open Notes" display="Attach18!A1"/>
    <hyperlink ref="J90" location="Attach19!A1" tooltip="Click to open Notes" display="Attach19!A1"/>
    <hyperlink ref="J92" location="Attach19!A1" tooltip="Click to open Notes" display="Attach19!A1"/>
    <hyperlink ref="K64" location="Attach19!A1" tooltip="Click to open Notes" display="Attach19!A1"/>
    <hyperlink ref="K65" location="Attach19!A1" tooltip="Click to open Notes" display="Attach19!A1"/>
    <hyperlink ref="K66" location="Attach19!A1" tooltip="Click to open Notes" display="Attach19!A1"/>
    <hyperlink ref="K67" location="Attach19!A1" tooltip="Click to open Notes" display="Attach19!A1"/>
    <hyperlink ref="K68" location="Attach19!A1" tooltip="Click to open Notes" display="Attach19!A1"/>
    <hyperlink ref="K69" location="Attach19!A1" tooltip="Click to open Notes" display="Attach19!A1"/>
    <hyperlink ref="K70" location="Attach19!A1" tooltip="Click to open Notes" display="Attach19!A1"/>
    <hyperlink ref="K71" location="Attach19!A1" tooltip="Click to open Notes" display="Attach19!A1"/>
    <hyperlink ref="K72" location="Attach19!A1" tooltip="Click to open Notes" display="Attach19!A1"/>
    <hyperlink ref="K73" location="Attach19!A1" tooltip="Click to open Notes" display="Attach19!A1"/>
    <hyperlink ref="K74" location="Attach19!A1" tooltip="Click to open Notes" display="Attach19!A1"/>
    <hyperlink ref="K75" location="Attach19!A1" tooltip="Click to open Notes" display="Attach19!A1"/>
    <hyperlink ref="K76" location="Attach19!A1" tooltip="Click to open Notes" display="Attach19!A1"/>
    <hyperlink ref="K77" location="Attach19!A1" tooltip="Click to open Notes" display="Attach19!A1"/>
    <hyperlink ref="K82" location="Attach19!A1" tooltip="Click to open Notes" display="Attach19!A1"/>
    <hyperlink ref="K83" location="Attach19!A1" tooltip="Click to open Notes" display="Attach19!A1"/>
    <hyperlink ref="K84" location="Attach19!A1" tooltip="Click to open Notes" display="Attach19!A1"/>
    <hyperlink ref="K85" location="Attach19!A1" tooltip="Click to open Notes" display="Attach19!A1"/>
    <hyperlink ref="K93" location="Attach19!A1" tooltip="Click to open Notes" display="Attach19!A1"/>
    <hyperlink ref="K94" location="Attach19!A1" tooltip="Click to open Notes" display="Attach19!A1"/>
    <hyperlink ref="K95" location="Attach19!A1" tooltip="Click to open Notes" display="Attach19!A1"/>
    <hyperlink ref="K96" location="Attach19!A1" tooltip="Click to open Notes" display="Attach19!A1"/>
    <hyperlink ref="K97" location="Attach19!A1" tooltip="Click to open Notes" display="Attach19!A1"/>
    <hyperlink ref="K98" location="Attach19!A1" tooltip="Click to open Notes" display="Attach19!A1"/>
    <hyperlink ref="K99" location="Attach19!A1" tooltip="Click to open Notes" display="Attach19!A1"/>
    <hyperlink ref="K100" location="Attach19!A1" tooltip="Click to open Notes" display="Attach19!A1"/>
    <hyperlink ref="K101" location="Attach19!A1" tooltip="Click to open Notes" display="Attach19!A1"/>
    <hyperlink ref="K102" location="Attach19!A1" tooltip="Click to open Notes" display="Attach19!A1"/>
    <hyperlink ref="J64" location="Attach19!A1" display="Attach19!A1"/>
    <hyperlink ref="J65" location="Attach19!A1" display="Attach19!A1"/>
    <hyperlink ref="J66" location="Attach19!A1" display="Attach19!A1"/>
    <hyperlink ref="J67" location="Attach19!A1" display="Attach19!A1"/>
    <hyperlink ref="J68" location="Attach19!A1" display="Attach19!A1"/>
    <hyperlink ref="J69" location="Attach19!A1" display="Attach19!A1"/>
    <hyperlink ref="J70" location="Attach19!A1" tooltip="Click to open notes" display="Attach19!A1"/>
    <hyperlink ref="J71" location="Attach19!A1" display="Attach19!A1"/>
    <hyperlink ref="J72" location="Attach19!A1" display="Attach19!A1"/>
    <hyperlink ref="J73" location="Attach19!A1" display="Attach19!A1"/>
    <hyperlink ref="J74" location="Attach19!A1" display="Attach19!A1"/>
    <hyperlink ref="J75" location="Attach19!A1" display="Attach19!A1"/>
    <hyperlink ref="J76" location="Attach19!A1" display="Attach19!A1"/>
    <hyperlink ref="J77" location="Attach19!A1" display="Attach19!A1"/>
    <hyperlink ref="J82" location="Attach19!A1" tooltip="Click to open Notes" display="Attach19!A1"/>
    <hyperlink ref="J83" location="Attach19!A1" tooltip="Click to open Notes" display="Attach19!A1"/>
    <hyperlink ref="J84" location="Attach19!A1" tooltip="Click to open Notes" display="Attach19!A1"/>
    <hyperlink ref="J85" location="Attach19!A1" tooltip="Click to open Notes" display="Attach19!A1"/>
    <hyperlink ref="J93" location="Attach19!A1" tooltip="Click to open Notes" display="Attach19!A1"/>
    <hyperlink ref="J94" location="Attach19!A1" tooltip="Click to open Notes" display="Attach19!A1"/>
    <hyperlink ref="J95" location="Attach19!A1" tooltip="Click to open Notes" display="Attach19!A1"/>
    <hyperlink ref="J96" location="Attach19!A1" tooltip="Click to open Notes" display="Attach19!A1"/>
    <hyperlink ref="J97" location="Attach19!A1" tooltip="Click to open Notes" display="Attach19!A1"/>
    <hyperlink ref="J98" location="Attach19!A1" tooltip="Click to open Notes" display="Attach19!A1"/>
    <hyperlink ref="J99" location="Attach19!A1" tooltip="Click to open Notes" display="Attach19!A1"/>
    <hyperlink ref="J100" location="Attach19!A1" tooltip="Click to open Notes" display="Attach19!A1"/>
    <hyperlink ref="J101" location="Attach19!A1" tooltip="Click to open Notes" display="Attach19!A1"/>
    <hyperlink ref="J102" location="Attach19!A1" tooltip="Click to open Notes" display="Attach19!A1"/>
    <hyperlink ref="J103" location="Attach19!A1" tooltip="Click to open Notes" display="Attach19!A1"/>
    <hyperlink ref="J11" location="Attach19!A1" tooltip="Click to open notes" display="Attach19!A1"/>
    <hyperlink ref="K11" location="Attach19!A1" tooltip="Click to open notes" display="Attach19!A1"/>
    <hyperlink ref="J12" location="Attach19!A1" tooltip="Click to open notes" display="Attach19!A1"/>
    <hyperlink ref="K12" location="Attach19!A1" tooltip="Click to open notes" display="Attach19!A1"/>
    <hyperlink ref="J13" location="Attach19!A1" tooltip="Click to open notes" display="Attach19!A1"/>
    <hyperlink ref="K13" location="Attach19!A1" tooltip="Click to open notes" display="Attach19!A1"/>
    <hyperlink ref="J14" location="Attach19!A1" tooltip="Click to open notes" display="Attach19!A1"/>
    <hyperlink ref="K14" location="Attach19!A1" tooltip="Click to open notes" display="Attach19!A1"/>
    <hyperlink ref="J15" location="Attach19!A1" tooltip="Click to open notes" display="Attach19!A1"/>
    <hyperlink ref="K15" location="Attach19!A1" tooltip="Click to open notes" display="Attach19!A1"/>
    <hyperlink ref="J16" location="Attach19!A1" tooltip="Click to open notes" display="Attach19!A1"/>
    <hyperlink ref="K16" location="Attach19!A1" tooltip="Click to open notes" display="Attach19!A1"/>
    <hyperlink ref="K17" location="Attach19!A1" tooltip="Click to open notes" display="Attach19!A1"/>
    <hyperlink ref="J18" location="Attach19!A1" tooltip="Click to open notes" display="Attach19!A1"/>
    <hyperlink ref="K18" location="Attach19!A1" tooltip="Click to open notes" display="Attach19!A1"/>
    <hyperlink ref="J19" location="Attach19!A1" tooltip="Click to open notes" display="Attach19!A1"/>
    <hyperlink ref="K19" location="Attach19!A1" tooltip="Click to open notes" display="Attach19!A1"/>
    <hyperlink ref="J20" location="Attach19!A1" tooltip="Click to open notes" display="Attach19!A1"/>
    <hyperlink ref="K20" location="Attach19!A1" tooltip="Click to open notes" display="Attach19!A1"/>
    <hyperlink ref="J21" location="Attach19!A1" tooltip="Click to open notes" display="Attach19!A1"/>
    <hyperlink ref="K21" location="Attach19!A1" tooltip="Click to open notes" display="Attach19!A1"/>
    <hyperlink ref="J26" location="Attach19!A1" tooltip="Click to open Notes" display="Attach19!A1"/>
    <hyperlink ref="K26" location="Attach19!A1" tooltip="Click to open Notes" display="Attach19!A1"/>
    <hyperlink ref="J27" location="Attach19!A1" tooltip="Click to open Notes" display="Attach19!A1"/>
    <hyperlink ref="K27" location="Attach19!A1" tooltip="Click to open Notes" display="Attach19!A1"/>
    <hyperlink ref="J28" location="Attach19!A1" tooltip="Click to open Notes" display="Attach19!A1"/>
    <hyperlink ref="K28" location="Attach19!A1" tooltip="Click to open Notes" display="Attach19!A1"/>
    <hyperlink ref="J29" location="Attach19!A1" tooltip="Click to open Notes" display="Attach19!A1"/>
    <hyperlink ref="K29" location="Attach19!A1" tooltip="Click to open Notes" display="Attach19!A1"/>
    <hyperlink ref="J30" location="Attach19!A1" tooltip="Click to open Notes" display="Attach19!A1"/>
    <hyperlink ref="K32" location="Attach19!A1" tooltip="Click to open Notes" display="Attach19!A1"/>
    <hyperlink ref="K33" location="Attach19!A1" tooltip="Click to open Notes" display="Attach19!A1"/>
    <hyperlink ref="K34" location="Attach19!A1" tooltip="Click to open Notes" display="Attach19!A1"/>
    <hyperlink ref="K35" location="Attach19!A1" tooltip="Click to open Notes" display="Attach19!A1"/>
    <hyperlink ref="K36" location="Attach19!A1" tooltip="Click to open Notes" display="Attach19!A1"/>
    <hyperlink ref="J40" location="Attach19!A1" tooltip="Click to open Notes" display="Attach19!A1"/>
    <hyperlink ref="K40" location="Attach19!A1" tooltip="Click to open Notes" display="Attach19!A1"/>
    <hyperlink ref="J41" location="Attach19!A1" tooltip="Click to open Notes" display="Attach19!A1"/>
    <hyperlink ref="K41" location="Attach19!A1" tooltip="Click to open Notes" display="Attach19!A1"/>
    <hyperlink ref="J42" location="Attach19!A1" tooltip="Click to open Notes" display="Attach19!A1"/>
    <hyperlink ref="K42" location="Attach19!A1" tooltip="Click to open Notes" display="Attach19!A1"/>
    <hyperlink ref="J43" location="Attach19!A1" tooltip="Click to open Notes" display="Attach19!A1"/>
    <hyperlink ref="K43" location="Attach19!A1" tooltip="Click to open Notes" display="Attach19!A1"/>
    <hyperlink ref="J44" location="Attach19!A1" tooltip="Click to open Notes" display="Attach19!A1"/>
    <hyperlink ref="K44" location="Attach19!A1" tooltip="Click to open Notes" display="Attach19!A1"/>
    <hyperlink ref="J45" location="Attach19!A1" tooltip="Click to open Notes" display="Attach19!A1"/>
    <hyperlink ref="K45" location="Attach19!A1" tooltip="Click to open Notes" display="Attach19!A1"/>
    <hyperlink ref="J46" location="Attach19!A1" tooltip="Click to open Notes" display="Attach19!A1"/>
    <hyperlink ref="K46" location="Attach19!A1" tooltip="Click to open Notes" display="Attach19!A1"/>
    <hyperlink ref="J47" location="Attach19!A1" tooltip="Click to open Notes" display="Attach19!A1"/>
    <hyperlink ref="K47" location="Attach19!A1" tooltip="Click to open Notes" display="Attach19!A1"/>
    <hyperlink ref="J10" location="Attach19!A1" tooltip="Click to open Notes" display="Attach19!A1"/>
    <hyperlink ref="K10" location="Attach19!A1" tooltip="Click to open Notes" display="Attach19!A1"/>
  </hyperlinks>
  <printOptions horizontalCentered="1"/>
  <pageMargins left="0" right="0" top="0" bottom="0" header="0" footer="0"/>
  <pageSetup scale="63" orientation="landscape" blackAndWhite="1" r:id="rId1"/>
  <headerFooter alignWithMargins="0"/>
  <rowBreaks count="1" manualBreakCount="1">
    <brk id="54" max="11" man="1"/>
  </rowBreaks>
  <legacyDrawing r:id="rId2"/>
  <controls>
    <control shapeId="30728" r:id="rId3" name="CommandButton2"/>
    <control shapeId="30726" r:id="rId4" name="CommandButton1"/>
    <control shapeId="30724" r:id="rId5" name="Label2"/>
    <control shapeId="30722" r:id="rId6" name="Label1"/>
  </controls>
</worksheet>
</file>

<file path=xl/worksheets/sheet21.xml><?xml version="1.0" encoding="utf-8"?>
<worksheet xmlns="http://schemas.openxmlformats.org/spreadsheetml/2006/main" xmlns:r="http://schemas.openxmlformats.org/officeDocument/2006/relationships">
  <sheetPr codeName="Sheet33"/>
  <dimension ref="A1:T402"/>
  <sheetViews>
    <sheetView showGridLines="0" zoomScale="85" zoomScaleNormal="85" workbookViewId="0">
      <selection activeCell="I3" sqref="I3"/>
    </sheetView>
  </sheetViews>
  <sheetFormatPr defaultColWidth="8.85546875" defaultRowHeight="12.75"/>
  <cols>
    <col min="1" max="1" width="8.85546875" style="91"/>
    <col min="2" max="2" width="10.28515625" style="129" customWidth="1"/>
    <col min="3" max="3" width="45" style="91" customWidth="1"/>
    <col min="4" max="6" width="15.7109375" style="91" customWidth="1"/>
    <col min="7" max="7" width="15.7109375" style="90" customWidth="1"/>
    <col min="8" max="9" width="15.7109375" style="91" customWidth="1"/>
    <col min="10" max="10" width="12.85546875" style="131" customWidth="1"/>
    <col min="11" max="11" width="12.140625" style="131" customWidth="1"/>
    <col min="12" max="12" width="10.28515625" style="91" customWidth="1"/>
    <col min="13" max="16384" width="8.85546875" style="91"/>
  </cols>
  <sheetData>
    <row r="1" spans="1:20">
      <c r="A1" s="185"/>
      <c r="B1" s="661"/>
      <c r="C1" s="185"/>
      <c r="D1" s="185"/>
      <c r="E1" s="185"/>
      <c r="F1" s="185"/>
      <c r="G1" s="186"/>
      <c r="H1" s="185"/>
      <c r="I1" s="185"/>
      <c r="J1" s="752"/>
      <c r="K1" s="752"/>
      <c r="L1" s="185"/>
      <c r="M1" s="185"/>
      <c r="N1" s="185"/>
      <c r="O1" s="185"/>
      <c r="P1" s="185"/>
      <c r="Q1" s="185"/>
      <c r="R1" s="185"/>
      <c r="S1" s="185"/>
      <c r="T1" s="185"/>
    </row>
    <row r="2" spans="1:20">
      <c r="A2" s="185"/>
      <c r="B2" s="714" t="str">
        <f>TestYear &amp; " Test Year"</f>
        <v>2015 Test Year</v>
      </c>
      <c r="C2" s="821"/>
      <c r="D2" s="821"/>
      <c r="E2" s="821"/>
      <c r="F2" s="821"/>
      <c r="G2" s="821"/>
      <c r="H2" s="665"/>
      <c r="I2" s="666"/>
      <c r="J2" s="665"/>
      <c r="K2" s="666" t="s">
        <v>524</v>
      </c>
      <c r="L2" s="185"/>
      <c r="M2" s="185"/>
      <c r="N2" s="185"/>
      <c r="O2" s="185"/>
      <c r="P2" s="185"/>
      <c r="Q2" s="185"/>
      <c r="R2" s="185"/>
      <c r="S2" s="185"/>
      <c r="T2" s="185"/>
    </row>
    <row r="3" spans="1:20">
      <c r="A3" s="185"/>
      <c r="B3" s="822"/>
      <c r="C3" s="821"/>
      <c r="D3" s="1983" t="str">
        <f>Utility</f>
        <v>MADISON WATER UTILITY</v>
      </c>
      <c r="E3" s="1984"/>
      <c r="F3" s="1984"/>
      <c r="G3" s="1984"/>
      <c r="H3" s="665"/>
      <c r="I3" s="666"/>
      <c r="J3" s="665"/>
      <c r="K3" s="666" t="s">
        <v>525</v>
      </c>
      <c r="L3" s="185"/>
      <c r="M3" s="185"/>
      <c r="N3" s="185"/>
      <c r="O3" s="185"/>
      <c r="P3" s="185"/>
      <c r="Q3" s="185"/>
      <c r="R3" s="185"/>
      <c r="S3" s="185"/>
      <c r="T3" s="185"/>
    </row>
    <row r="4" spans="1:20">
      <c r="A4" s="185"/>
      <c r="B4" s="823"/>
      <c r="C4" s="823"/>
      <c r="D4" s="821"/>
      <c r="E4" s="821"/>
      <c r="F4" s="821"/>
      <c r="G4" s="821"/>
      <c r="H4" s="667"/>
      <c r="I4" s="667"/>
      <c r="J4" s="774"/>
      <c r="K4" s="774"/>
      <c r="L4" s="185"/>
      <c r="M4" s="185"/>
      <c r="N4" s="185"/>
      <c r="O4" s="185"/>
      <c r="P4" s="185"/>
      <c r="Q4" s="185"/>
      <c r="R4" s="185"/>
      <c r="S4" s="185"/>
      <c r="T4" s="185"/>
    </row>
    <row r="5" spans="1:20">
      <c r="A5" s="185"/>
      <c r="B5" s="823"/>
      <c r="C5" s="821"/>
      <c r="D5" s="1985" t="s">
        <v>526</v>
      </c>
      <c r="E5" s="1984"/>
      <c r="F5" s="1984"/>
      <c r="G5" s="1984"/>
      <c r="H5" s="665"/>
      <c r="I5" s="665"/>
      <c r="J5" s="773"/>
      <c r="K5" s="773"/>
      <c r="L5" s="185"/>
      <c r="M5" s="185"/>
      <c r="N5" s="185"/>
      <c r="O5" s="185"/>
      <c r="P5" s="185"/>
      <c r="Q5" s="185"/>
      <c r="R5" s="185"/>
      <c r="S5" s="185"/>
      <c r="T5" s="185"/>
    </row>
    <row r="6" spans="1:20" ht="13.5" thickBot="1">
      <c r="A6" s="185"/>
      <c r="B6" s="824"/>
      <c r="C6" s="821" t="s">
        <v>527</v>
      </c>
      <c r="D6" s="1986" t="str">
        <f>CONCATENATE("Estimated for Test Year ",TestYear)</f>
        <v>Estimated for Test Year 2015</v>
      </c>
      <c r="E6" s="1987"/>
      <c r="F6" s="1987"/>
      <c r="G6" s="1987"/>
      <c r="H6" s="776"/>
      <c r="I6" s="776"/>
      <c r="J6" s="775"/>
      <c r="K6" s="775"/>
      <c r="L6" s="185"/>
      <c r="M6" s="185"/>
      <c r="N6" s="185"/>
      <c r="O6" s="185"/>
      <c r="P6" s="185"/>
      <c r="Q6" s="185"/>
      <c r="R6" s="185"/>
      <c r="S6" s="185"/>
      <c r="T6" s="185"/>
    </row>
    <row r="7" spans="1:20" ht="13.5" thickTop="1">
      <c r="A7" s="185"/>
      <c r="B7" s="793"/>
      <c r="C7" s="794"/>
      <c r="D7" s="1993"/>
      <c r="E7" s="1994"/>
      <c r="F7" s="1994"/>
      <c r="G7" s="1994"/>
      <c r="H7" s="691"/>
      <c r="I7" s="691"/>
      <c r="J7" s="794"/>
      <c r="K7" s="794"/>
      <c r="L7" s="368"/>
      <c r="M7" s="185"/>
      <c r="N7" s="185"/>
      <c r="O7" s="185"/>
      <c r="P7" s="185"/>
      <c r="Q7" s="185"/>
      <c r="R7" s="185"/>
      <c r="S7" s="185"/>
      <c r="T7" s="185"/>
    </row>
    <row r="8" spans="1:20">
      <c r="A8" s="185"/>
      <c r="B8" s="795"/>
      <c r="C8" s="796"/>
      <c r="D8" s="797"/>
      <c r="E8" s="798"/>
      <c r="F8" s="798"/>
      <c r="G8" s="799"/>
      <c r="H8" s="799"/>
      <c r="I8" s="800" t="str">
        <f>IF(Data!H5="Actual",CONCATENATE(D10,", ",E10,", ",F10,", ",G10),CONCATENATE(D10,", ",E10,", ",F10))</f>
        <v>2011, 2012, 2013</v>
      </c>
      <c r="J8" s="801"/>
      <c r="K8" s="802"/>
      <c r="L8" s="370"/>
      <c r="M8" s="185"/>
      <c r="N8" s="185"/>
      <c r="O8" s="185"/>
      <c r="P8" s="185"/>
      <c r="Q8" s="185"/>
      <c r="R8" s="185"/>
      <c r="S8" s="185"/>
      <c r="T8" s="185"/>
    </row>
    <row r="9" spans="1:20">
      <c r="A9" s="185"/>
      <c r="B9" s="795" t="s">
        <v>528</v>
      </c>
      <c r="C9" s="796"/>
      <c r="D9" s="797"/>
      <c r="E9" s="798"/>
      <c r="F9" s="798"/>
      <c r="G9" s="803" t="str">
        <f>Data!H5</f>
        <v>Estimated</v>
      </c>
      <c r="H9" s="804" t="s">
        <v>396</v>
      </c>
      <c r="I9" s="800" t="str">
        <f>IF(Data!H5="Actual","4 Year", "3 Year")</f>
        <v>3 Year</v>
      </c>
      <c r="J9" s="805" t="str">
        <f>G9</f>
        <v>Estimated</v>
      </c>
      <c r="K9" s="805" t="s">
        <v>396</v>
      </c>
      <c r="L9" s="370"/>
      <c r="M9" s="185"/>
      <c r="N9" s="185"/>
      <c r="O9" s="185"/>
      <c r="P9" s="185"/>
      <c r="Q9" s="185"/>
      <c r="R9" s="185"/>
      <c r="S9" s="185"/>
      <c r="T9" s="185"/>
    </row>
    <row r="10" spans="1:20">
      <c r="A10" s="185"/>
      <c r="B10" s="806" t="s">
        <v>529</v>
      </c>
      <c r="C10" s="789" t="s">
        <v>398</v>
      </c>
      <c r="D10" s="790">
        <f>TestYear-4</f>
        <v>2011</v>
      </c>
      <c r="E10" s="790">
        <f>TestYear-3</f>
        <v>2012</v>
      </c>
      <c r="F10" s="791">
        <f>TestYear-2</f>
        <v>2013</v>
      </c>
      <c r="G10" s="790">
        <f>TestYear-1</f>
        <v>2014</v>
      </c>
      <c r="H10" s="791">
        <f>TestYear</f>
        <v>2015</v>
      </c>
      <c r="I10" s="790" t="s">
        <v>256</v>
      </c>
      <c r="J10" s="787">
        <f>TestYear-1</f>
        <v>2014</v>
      </c>
      <c r="K10" s="787">
        <f>TestYear</f>
        <v>2015</v>
      </c>
      <c r="L10" s="370"/>
      <c r="M10" s="185"/>
      <c r="N10" s="185"/>
      <c r="O10" s="185"/>
      <c r="P10" s="185"/>
      <c r="Q10" s="185"/>
      <c r="R10" s="185"/>
      <c r="S10" s="185"/>
      <c r="T10" s="185"/>
    </row>
    <row r="11" spans="1:20">
      <c r="A11" s="185"/>
      <c r="B11" s="807" t="s">
        <v>530</v>
      </c>
      <c r="C11" s="780"/>
      <c r="D11" s="808" t="s">
        <v>531</v>
      </c>
      <c r="E11" s="809"/>
      <c r="F11" s="809"/>
      <c r="G11" s="344"/>
      <c r="H11" s="344"/>
      <c r="I11" s="777" t="s">
        <v>531</v>
      </c>
      <c r="J11" s="801" t="s">
        <v>532</v>
      </c>
      <c r="K11" s="810"/>
      <c r="L11" s="370"/>
      <c r="M11" s="185"/>
      <c r="N11" s="185"/>
      <c r="O11" s="185"/>
      <c r="P11" s="185"/>
      <c r="Q11" s="185"/>
      <c r="R11" s="185"/>
      <c r="S11" s="185"/>
      <c r="T11" s="185"/>
    </row>
    <row r="12" spans="1:20" ht="15">
      <c r="A12" s="185"/>
      <c r="B12" s="811">
        <v>600</v>
      </c>
      <c r="C12" s="792" t="s">
        <v>533</v>
      </c>
      <c r="D12" s="825">
        <f>Data!B21</f>
        <v>0</v>
      </c>
      <c r="E12" s="825">
        <f>Data!C21</f>
        <v>0</v>
      </c>
      <c r="F12" s="825">
        <f>Data!D21</f>
        <v>0</v>
      </c>
      <c r="G12" s="826">
        <f>Data!E21</f>
        <v>0</v>
      </c>
      <c r="H12" s="827">
        <v>0</v>
      </c>
      <c r="I12" s="825">
        <f>IF(Data!$H$5="Actual", SUM(D12+E12+F12+G12)/4, SUM(D12+E12+F12)/3)</f>
        <v>0</v>
      </c>
      <c r="J12" s="812" t="str">
        <f>IF(I12&lt;&gt;0,IF((G12-I12)/I12&gt;0.15,"Explain",IF((G12-I12)/I12&lt;-0.15,"Explain","")),"")</f>
        <v/>
      </c>
      <c r="K12" s="812" t="str">
        <f>IF(I12&lt;&gt;0,IF((H12-I12)/I12&gt;0.15,"Explain",IF((H12-I12)/I12&lt; -0.15,"Explain","")),"")</f>
        <v/>
      </c>
      <c r="L12" s="370"/>
      <c r="M12" s="185"/>
      <c r="N12" s="185"/>
      <c r="O12" s="185"/>
      <c r="P12" s="185"/>
      <c r="Q12" s="185"/>
      <c r="R12" s="185"/>
      <c r="S12" s="185"/>
      <c r="T12" s="185"/>
    </row>
    <row r="13" spans="1:20" ht="15">
      <c r="A13" s="185"/>
      <c r="B13" s="811">
        <v>601</v>
      </c>
      <c r="C13" s="792" t="s">
        <v>534</v>
      </c>
      <c r="D13" s="828">
        <f>Data!B22</f>
        <v>0</v>
      </c>
      <c r="E13" s="828">
        <f>Data!C22</f>
        <v>0</v>
      </c>
      <c r="F13" s="828">
        <f>Data!D22</f>
        <v>0</v>
      </c>
      <c r="G13" s="829">
        <f>Data!E22</f>
        <v>0</v>
      </c>
      <c r="H13" s="830">
        <v>0</v>
      </c>
      <c r="I13" s="828">
        <f>IF(Data!$H$5="Actual", SUM(D13+E13+F13+G13)/4, SUM(D13+E13+F13)/3)</f>
        <v>0</v>
      </c>
      <c r="J13" s="812" t="str">
        <f>IF(I13&lt;&gt;0,IF((G13-I13)/I13&gt;0.15,"Explain",IF((G13-I13)/I13&lt; -0.15,"Explain","")),"")</f>
        <v/>
      </c>
      <c r="K13" s="812" t="str">
        <f>IF(I13&lt;&gt;0,IF((H13-I13)/I13&gt;0.15,"Explain",IF((H13-I13)/I13&lt; -0.15,"Explain","")),"")</f>
        <v/>
      </c>
      <c r="L13" s="370"/>
      <c r="M13" s="185"/>
      <c r="N13" s="185"/>
      <c r="O13" s="185"/>
      <c r="P13" s="185"/>
      <c r="Q13" s="185"/>
      <c r="R13" s="185"/>
      <c r="S13" s="185"/>
      <c r="T13" s="185"/>
    </row>
    <row r="14" spans="1:20" ht="15">
      <c r="A14" s="185"/>
      <c r="B14" s="811">
        <v>602</v>
      </c>
      <c r="C14" s="792" t="s">
        <v>535</v>
      </c>
      <c r="D14" s="828">
        <f>Data!B23</f>
        <v>0</v>
      </c>
      <c r="E14" s="828">
        <f>Data!C23</f>
        <v>0</v>
      </c>
      <c r="F14" s="828">
        <f>Data!D23</f>
        <v>0</v>
      </c>
      <c r="G14" s="829">
        <f>Data!E23</f>
        <v>0</v>
      </c>
      <c r="H14" s="830">
        <v>0</v>
      </c>
      <c r="I14" s="828">
        <f>IF(Data!$H$5="Actual", SUM(D14+E14+F14+G14)/4, SUM(D14+E14+F14)/3)</f>
        <v>0</v>
      </c>
      <c r="J14" s="812" t="str">
        <f>IF(I14&lt;&gt;0,IF((G14-I14)/I14&gt;0.15,"Explain",IF((G14-I14)/I14&lt; -0.15,"Explain","")),"")</f>
        <v/>
      </c>
      <c r="K14" s="812" t="str">
        <f>IF(I14&lt;&gt;0,IF((H14-I14)/I14&gt;0.15,"Explain",IF((H14-I14)/I14&lt; -0.15,"Explain","")),"")</f>
        <v/>
      </c>
      <c r="L14" s="370"/>
      <c r="M14" s="185"/>
      <c r="N14" s="185"/>
      <c r="O14" s="185"/>
      <c r="P14" s="185"/>
      <c r="Q14" s="185"/>
      <c r="R14" s="185"/>
      <c r="S14" s="185"/>
      <c r="T14" s="185"/>
    </row>
    <row r="15" spans="1:20" ht="15">
      <c r="A15" s="185"/>
      <c r="B15" s="811">
        <v>605</v>
      </c>
      <c r="C15" s="792" t="s">
        <v>536</v>
      </c>
      <c r="D15" s="828">
        <f>Data!B24</f>
        <v>0</v>
      </c>
      <c r="E15" s="828">
        <f>Data!C24</f>
        <v>0</v>
      </c>
      <c r="F15" s="828">
        <f>Data!D24</f>
        <v>0</v>
      </c>
      <c r="G15" s="829">
        <f>Data!E24</f>
        <v>0</v>
      </c>
      <c r="H15" s="830">
        <v>0</v>
      </c>
      <c r="I15" s="831">
        <f>IF(Data!$H$5="Actual", SUM(D15+E15+F15+G15)/4, SUM(D15+E15+F15)/3)</f>
        <v>0</v>
      </c>
      <c r="J15" s="812" t="str">
        <f>IF(I15&lt;&gt;0,IF((G15-I15)/I15&gt;0.15,"Explain",IF((G15-I15)/I15&lt; -0.15,"Explain","")),"")</f>
        <v/>
      </c>
      <c r="K15" s="812" t="str">
        <f>IF(I15&lt;&gt;0,IF((H15-I15)/I15&gt;0.15,"Explain",IF((H15-I15)/I15&lt; -0.15,"Explain","")),"")</f>
        <v/>
      </c>
      <c r="L15" s="370"/>
      <c r="M15" s="185"/>
      <c r="N15" s="185"/>
      <c r="O15" s="185"/>
      <c r="P15" s="185"/>
      <c r="Q15" s="185"/>
      <c r="R15" s="185"/>
      <c r="S15" s="185"/>
      <c r="T15" s="185"/>
    </row>
    <row r="16" spans="1:20" ht="15">
      <c r="A16" s="185"/>
      <c r="B16" s="811"/>
      <c r="C16" s="792"/>
      <c r="D16" s="832"/>
      <c r="E16" s="832"/>
      <c r="F16" s="832"/>
      <c r="G16" s="833"/>
      <c r="H16" s="687"/>
      <c r="I16" s="826"/>
      <c r="J16" s="813"/>
      <c r="K16" s="813"/>
      <c r="L16" s="370"/>
      <c r="M16" s="185"/>
      <c r="N16" s="185"/>
      <c r="O16" s="185"/>
      <c r="P16" s="185"/>
      <c r="Q16" s="185"/>
      <c r="R16" s="185"/>
      <c r="S16" s="185"/>
      <c r="T16" s="185"/>
    </row>
    <row r="17" spans="1:20" ht="15">
      <c r="A17" s="185"/>
      <c r="B17" s="811"/>
      <c r="C17" s="792" t="s">
        <v>537</v>
      </c>
      <c r="D17" s="834">
        <f t="shared" ref="D17:I17" si="0">SUM(D12:D15)</f>
        <v>0</v>
      </c>
      <c r="E17" s="834">
        <f t="shared" si="0"/>
        <v>0</v>
      </c>
      <c r="F17" s="834">
        <f t="shared" si="0"/>
        <v>0</v>
      </c>
      <c r="G17" s="834">
        <f t="shared" si="0"/>
        <v>0</v>
      </c>
      <c r="H17" s="834">
        <f t="shared" si="0"/>
        <v>0</v>
      </c>
      <c r="I17" s="834">
        <f t="shared" si="0"/>
        <v>0</v>
      </c>
      <c r="J17" s="813"/>
      <c r="K17" s="813"/>
      <c r="L17" s="370"/>
      <c r="M17" s="185"/>
      <c r="N17" s="185"/>
      <c r="O17" s="185"/>
      <c r="P17" s="185"/>
      <c r="Q17" s="185"/>
      <c r="R17" s="185"/>
      <c r="S17" s="185"/>
      <c r="T17" s="185"/>
    </row>
    <row r="18" spans="1:20" ht="17.649999999999999" customHeight="1">
      <c r="A18" s="185"/>
      <c r="B18" s="811"/>
      <c r="C18" s="792"/>
      <c r="D18" s="828"/>
      <c r="E18" s="828"/>
      <c r="F18" s="828"/>
      <c r="G18" s="687"/>
      <c r="H18" s="687"/>
      <c r="I18" s="826"/>
      <c r="J18" s="813"/>
      <c r="K18" s="813"/>
      <c r="L18" s="370"/>
      <c r="M18" s="185"/>
      <c r="N18" s="185"/>
      <c r="O18" s="185"/>
      <c r="P18" s="185"/>
      <c r="Q18" s="185"/>
      <c r="R18" s="185"/>
      <c r="S18" s="185"/>
      <c r="T18" s="185"/>
    </row>
    <row r="19" spans="1:20" ht="15">
      <c r="A19" s="185"/>
      <c r="B19" s="811">
        <v>620</v>
      </c>
      <c r="C19" s="792" t="s">
        <v>533</v>
      </c>
      <c r="D19" s="1480">
        <f>Data!B25</f>
        <v>0</v>
      </c>
      <c r="E19" s="825">
        <f>Data!C25</f>
        <v>0</v>
      </c>
      <c r="F19" s="825">
        <f>Data!D25</f>
        <v>0</v>
      </c>
      <c r="G19" s="826">
        <f>Data!E25</f>
        <v>0</v>
      </c>
      <c r="H19" s="827">
        <v>0</v>
      </c>
      <c r="I19" s="825">
        <f>IF(Data!$H$5="Actual", SUM(D19+E19+F19+G19)/4, SUM(D19+E19+F19)/3)</f>
        <v>0</v>
      </c>
      <c r="J19" s="812" t="str">
        <f>IF(I19&lt;&gt;0,IF((G19-I19)/I19&gt;0.15,"Explain",IF((G19-I19)/I19&lt; -0.15,"Explain","")),"")</f>
        <v/>
      </c>
      <c r="K19" s="812" t="str">
        <f>IF(I19&lt;&gt;0,IF((H19-I19)/I19&gt;0.15,"Explain",IF((H19-I19)/I19&lt; -0.15,"Explain","")),"")</f>
        <v/>
      </c>
      <c r="L19" s="370"/>
      <c r="M19" s="185"/>
      <c r="N19" s="185"/>
      <c r="O19" s="185"/>
      <c r="P19" s="185"/>
      <c r="Q19" s="185"/>
      <c r="R19" s="185"/>
      <c r="S19" s="185"/>
      <c r="T19" s="185"/>
    </row>
    <row r="20" spans="1:20" ht="15">
      <c r="A20" s="185"/>
      <c r="B20" s="811">
        <v>621</v>
      </c>
      <c r="C20" s="792" t="s">
        <v>538</v>
      </c>
      <c r="D20" s="828">
        <f>Data!B26</f>
        <v>22773</v>
      </c>
      <c r="E20" s="828">
        <f>Data!C26</f>
        <v>25376</v>
      </c>
      <c r="F20" s="828">
        <f>Data!D26</f>
        <v>16620</v>
      </c>
      <c r="G20" s="829">
        <f>Data!E26</f>
        <v>0</v>
      </c>
      <c r="H20" s="830">
        <v>0</v>
      </c>
      <c r="I20" s="828">
        <f>IF(Data!$H$5="Actual", SUM(D20+E20+F20+G20)/4, SUM(D20+E20+F20)/3)</f>
        <v>21589.666666666668</v>
      </c>
      <c r="J20" s="812" t="str">
        <f>IF(I20&lt;&gt;0,IF((G20-I20)/I20&gt;0.15,"Explain",IF((G20-I20)/I20&lt; -0.15,"Explain","")),"")</f>
        <v>Explain</v>
      </c>
      <c r="K20" s="812" t="str">
        <f>IF(I20&lt;&gt;0,IF((H20-I20)/I20&gt;0.15,"Explain",IF((H20-I20)/I20&lt; -0.15,"Explain","")),"")</f>
        <v>Explain</v>
      </c>
      <c r="L20" s="370"/>
      <c r="M20" s="185"/>
      <c r="N20" s="185"/>
      <c r="O20" s="185"/>
      <c r="P20" s="185"/>
      <c r="Q20" s="185"/>
      <c r="R20" s="185"/>
      <c r="S20" s="185"/>
      <c r="T20" s="185"/>
    </row>
    <row r="21" spans="1:20" ht="15">
      <c r="A21" s="185"/>
      <c r="B21" s="811">
        <v>622</v>
      </c>
      <c r="C21" s="792" t="s">
        <v>539</v>
      </c>
      <c r="D21" s="828">
        <f>Data!B27</f>
        <v>0</v>
      </c>
      <c r="E21" s="828">
        <f>Data!C27</f>
        <v>0</v>
      </c>
      <c r="F21" s="828">
        <f>Data!D27</f>
        <v>0</v>
      </c>
      <c r="G21" s="829">
        <f>Data!E27</f>
        <v>0</v>
      </c>
      <c r="H21" s="830">
        <v>0</v>
      </c>
      <c r="I21" s="828">
        <f>IF(Data!$H$5="Actual", SUM(D21+E21+F21+G21)/4, SUM(D21+E21+F21)/3)</f>
        <v>0</v>
      </c>
      <c r="J21" s="812" t="str">
        <f>IF(I21&lt;&gt;0,IF((G21-I21)/I21&gt;0.15,"Explain",IF((G21-I21)/I21&lt; -0.15,"Explain","")),"")</f>
        <v/>
      </c>
      <c r="K21" s="812" t="str">
        <f>IF(I21&lt;&gt;0,IF((H21-I21)/I21&gt;0.15,"Explain",IF((H21-I21)/I21&lt; -0.15,"Explain","")),"")</f>
        <v/>
      </c>
      <c r="L21" s="370"/>
      <c r="M21" s="185"/>
      <c r="N21" s="185"/>
      <c r="O21" s="185"/>
      <c r="P21" s="185"/>
      <c r="Q21" s="185"/>
      <c r="R21" s="185"/>
      <c r="S21" s="185"/>
      <c r="T21" s="185"/>
    </row>
    <row r="22" spans="1:20" ht="15">
      <c r="A22" s="185"/>
      <c r="B22" s="811">
        <v>623</v>
      </c>
      <c r="C22" s="792" t="s">
        <v>535</v>
      </c>
      <c r="D22" s="828">
        <f>Data!B28</f>
        <v>54512</v>
      </c>
      <c r="E22" s="828">
        <f>Data!C28</f>
        <v>34631</v>
      </c>
      <c r="F22" s="828">
        <f>Data!D28</f>
        <v>43467</v>
      </c>
      <c r="G22" s="829">
        <f>Data!E28</f>
        <v>0</v>
      </c>
      <c r="H22" s="830">
        <v>0</v>
      </c>
      <c r="I22" s="828">
        <f>IF(Data!$H$5="Actual", SUM(D22+E22+F22+G22)/4, SUM(D22+E22+F22)/3)</f>
        <v>44203.333333333336</v>
      </c>
      <c r="J22" s="812" t="str">
        <f>IF(I22&lt;&gt;0,IF((G22-I22)/I22&gt;0.15,"Explain",IF((G22-I22)/I22&lt; -0.15,"Explain","")),"")</f>
        <v>Explain</v>
      </c>
      <c r="K22" s="812" t="str">
        <f>IF(I22&lt;&gt;0,IF((H22-I22)/I22&gt;0.15,"Explain",IF((H22-I22)/I22&lt; -0.15,"Explain","")),"")</f>
        <v>Explain</v>
      </c>
      <c r="L22" s="370"/>
      <c r="M22" s="185"/>
      <c r="N22" s="185"/>
      <c r="O22" s="185"/>
      <c r="P22" s="185"/>
      <c r="Q22" s="185"/>
      <c r="R22" s="185"/>
      <c r="S22" s="185"/>
      <c r="T22" s="185"/>
    </row>
    <row r="23" spans="1:20" ht="15">
      <c r="A23" s="185"/>
      <c r="B23" s="811">
        <v>625</v>
      </c>
      <c r="C23" s="792" t="s">
        <v>540</v>
      </c>
      <c r="D23" s="828">
        <f>Data!B29</f>
        <v>0</v>
      </c>
      <c r="E23" s="828">
        <f>Data!C29</f>
        <v>0</v>
      </c>
      <c r="F23" s="828">
        <f>Data!D29</f>
        <v>0</v>
      </c>
      <c r="G23" s="829">
        <f>Data!E29</f>
        <v>0</v>
      </c>
      <c r="H23" s="830">
        <v>0</v>
      </c>
      <c r="I23" s="831">
        <f>IF(Data!$H$5="Actual", SUM(D23+E23+F23+G23)/4, SUM(D23+E23+F23)/3)</f>
        <v>0</v>
      </c>
      <c r="J23" s="812" t="str">
        <f>IF(I23&lt;&gt;0,IF((G23-I23)/I23&gt;0.15,"Explain",IF((G23-I23)/I23&lt; -0.15,"Explain","")),"")</f>
        <v/>
      </c>
      <c r="K23" s="812" t="str">
        <f>IF(I23&lt;&gt;0,IF((H23-I23)/I23&gt;0.15,"Explain",IF((H23-I23)/I23&lt; -0.15,"Explain","")),"")</f>
        <v/>
      </c>
      <c r="L23" s="370"/>
      <c r="M23" s="185"/>
      <c r="N23" s="185"/>
      <c r="O23" s="185"/>
      <c r="P23" s="185"/>
      <c r="Q23" s="185"/>
      <c r="R23" s="185"/>
      <c r="S23" s="185"/>
      <c r="T23" s="185"/>
    </row>
    <row r="24" spans="1:20" ht="15">
      <c r="A24" s="185"/>
      <c r="B24" s="811"/>
      <c r="C24" s="792"/>
      <c r="D24" s="832"/>
      <c r="E24" s="832"/>
      <c r="F24" s="832"/>
      <c r="G24" s="833"/>
      <c r="H24" s="687"/>
      <c r="I24" s="826"/>
      <c r="J24" s="813"/>
      <c r="K24" s="813"/>
      <c r="L24" s="370"/>
      <c r="M24" s="185"/>
      <c r="N24" s="185"/>
      <c r="O24" s="185"/>
      <c r="P24" s="185"/>
      <c r="Q24" s="185"/>
      <c r="R24" s="185"/>
      <c r="S24" s="185"/>
      <c r="T24" s="185"/>
    </row>
    <row r="25" spans="1:20" ht="15">
      <c r="A25" s="185"/>
      <c r="B25" s="811"/>
      <c r="C25" s="792" t="s">
        <v>541</v>
      </c>
      <c r="D25" s="834">
        <f t="shared" ref="D25:I25" si="1">SUM(D19:D23)</f>
        <v>77285</v>
      </c>
      <c r="E25" s="834">
        <f t="shared" si="1"/>
        <v>60007</v>
      </c>
      <c r="F25" s="834">
        <f t="shared" si="1"/>
        <v>60087</v>
      </c>
      <c r="G25" s="834">
        <f t="shared" si="1"/>
        <v>0</v>
      </c>
      <c r="H25" s="834">
        <f t="shared" si="1"/>
        <v>0</v>
      </c>
      <c r="I25" s="834">
        <f t="shared" si="1"/>
        <v>65793</v>
      </c>
      <c r="J25" s="813"/>
      <c r="K25" s="813"/>
      <c r="L25" s="370"/>
      <c r="M25" s="185"/>
      <c r="N25" s="185"/>
      <c r="O25" s="185"/>
      <c r="P25" s="185"/>
      <c r="Q25" s="185"/>
      <c r="R25" s="185"/>
      <c r="S25" s="185"/>
      <c r="T25" s="185"/>
    </row>
    <row r="26" spans="1:20" ht="15">
      <c r="A26" s="185"/>
      <c r="B26" s="811"/>
      <c r="C26" s="682"/>
      <c r="D26" s="698"/>
      <c r="E26" s="825"/>
      <c r="F26" s="825"/>
      <c r="G26" s="826"/>
      <c r="H26" s="826"/>
      <c r="I26" s="826"/>
      <c r="J26" s="813"/>
      <c r="K26" s="813"/>
      <c r="L26" s="370"/>
      <c r="M26" s="185"/>
      <c r="N26" s="185"/>
      <c r="O26" s="185"/>
      <c r="P26" s="185"/>
      <c r="Q26" s="185"/>
      <c r="R26" s="185"/>
      <c r="S26" s="185"/>
      <c r="T26" s="185"/>
    </row>
    <row r="27" spans="1:20" ht="15">
      <c r="A27" s="185"/>
      <c r="B27" s="811">
        <v>630</v>
      </c>
      <c r="C27" s="792" t="s">
        <v>533</v>
      </c>
      <c r="D27" s="1481">
        <f>Data!B30</f>
        <v>114386</v>
      </c>
      <c r="E27" s="825">
        <f>Data!C30</f>
        <v>0</v>
      </c>
      <c r="F27" s="825">
        <f>Data!D30</f>
        <v>469</v>
      </c>
      <c r="G27" s="826">
        <f>Data!E30</f>
        <v>0</v>
      </c>
      <c r="H27" s="827">
        <v>0</v>
      </c>
      <c r="I27" s="825">
        <f>IF(Data!$H$5="Actual", SUM(D27+E27+F27+G27)/4, SUM(D27+E27+F27)/3)</f>
        <v>38285</v>
      </c>
      <c r="J27" s="812" t="str">
        <f>IF(I27&lt;&gt;0,IF((G27-I27)/I27&gt;0.15,"Explain",IF((G27-I27)/I27&lt;-0.15,"Explain","")),"")</f>
        <v>Explain</v>
      </c>
      <c r="K27" s="812" t="str">
        <f>IF(I27&lt;&gt;0,IF((H27-I27)/I27&gt;0.15,"Explain",IF((H27-I27)/I27&lt; -0.15,"Explain","")),"")</f>
        <v>Explain</v>
      </c>
      <c r="L27" s="370"/>
      <c r="M27" s="185"/>
      <c r="N27" s="185"/>
      <c r="O27" s="185"/>
      <c r="P27" s="185"/>
      <c r="Q27" s="185"/>
      <c r="R27" s="185"/>
      <c r="S27" s="185"/>
      <c r="T27" s="185"/>
    </row>
    <row r="28" spans="1:20" ht="15">
      <c r="A28" s="185"/>
      <c r="B28" s="811">
        <v>631</v>
      </c>
      <c r="C28" s="792" t="s">
        <v>542</v>
      </c>
      <c r="D28" s="828">
        <f>Data!B31</f>
        <v>0</v>
      </c>
      <c r="E28" s="828">
        <f>Data!C31</f>
        <v>0</v>
      </c>
      <c r="F28" s="828">
        <f>Data!D31</f>
        <v>0</v>
      </c>
      <c r="G28" s="829">
        <f>Data!E31</f>
        <v>0</v>
      </c>
      <c r="H28" s="830">
        <v>0</v>
      </c>
      <c r="I28" s="828">
        <f>IF(Data!$H$5="Actual", SUM(D28+E28+F28+G28)/4, SUM(D28+E28+F28)/3)</f>
        <v>0</v>
      </c>
      <c r="J28" s="812" t="str">
        <f>IF(I28&lt;&gt;0,IF((G28-I28)/I28&gt;0.15,"Explain",IF((G28-I28)/I28&lt;-0.15,"Explain","")),"")</f>
        <v/>
      </c>
      <c r="K28" s="812" t="str">
        <f>IF(I28&lt;&gt;0,IF((H28-I28)/I28&gt;0.15,"Explain",IF((H28-I28)/I28&lt; -0.15,"Explain","")),"")</f>
        <v/>
      </c>
      <c r="L28" s="370"/>
      <c r="M28" s="185"/>
      <c r="N28" s="185"/>
      <c r="O28" s="185"/>
      <c r="P28" s="185"/>
      <c r="Q28" s="185"/>
      <c r="R28" s="185"/>
      <c r="S28" s="185"/>
      <c r="T28" s="185"/>
    </row>
    <row r="29" spans="1:20" ht="15">
      <c r="A29" s="185"/>
      <c r="B29" s="811">
        <v>632</v>
      </c>
      <c r="C29" s="792" t="s">
        <v>535</v>
      </c>
      <c r="D29" s="828">
        <f>Data!B32</f>
        <v>904</v>
      </c>
      <c r="E29" s="828">
        <f>Data!C32</f>
        <v>10895</v>
      </c>
      <c r="F29" s="828">
        <f>Data!D32</f>
        <v>3319</v>
      </c>
      <c r="G29" s="829">
        <f>Data!E32</f>
        <v>0</v>
      </c>
      <c r="H29" s="830">
        <v>0</v>
      </c>
      <c r="I29" s="828">
        <f>IF(Data!$H$5="Actual", SUM(D29+E29+F29+G29)/4, SUM(D29+E29+F29)/3)</f>
        <v>5039.333333333333</v>
      </c>
      <c r="J29" s="812" t="str">
        <f>IF(I29&lt;&gt;0,IF((G29-I29)/I29&gt;0.15,"Explain",IF((G29-I29)/I29&lt;-0.15,"Explain","")),"")</f>
        <v>Explain</v>
      </c>
      <c r="K29" s="812" t="str">
        <f>IF(I29&lt;&gt;0,IF((H29-I29)/I29&gt;0.15,"Explain",IF((H29-I29)/I29&lt; -0.15,"Explain","")),"")</f>
        <v>Explain</v>
      </c>
      <c r="L29" s="370"/>
      <c r="M29" s="185"/>
      <c r="N29" s="185"/>
      <c r="O29" s="185"/>
      <c r="P29" s="185"/>
      <c r="Q29" s="185"/>
      <c r="R29" s="185"/>
      <c r="S29" s="185"/>
      <c r="T29" s="185"/>
    </row>
    <row r="30" spans="1:20" ht="15">
      <c r="A30" s="185"/>
      <c r="B30" s="811">
        <v>635</v>
      </c>
      <c r="C30" s="792" t="s">
        <v>543</v>
      </c>
      <c r="D30" s="828">
        <f>Data!B33</f>
        <v>69862</v>
      </c>
      <c r="E30" s="828">
        <f>Data!C33</f>
        <v>62744</v>
      </c>
      <c r="F30" s="828">
        <f>Data!D33</f>
        <v>67225</v>
      </c>
      <c r="G30" s="829">
        <f>Data!E33</f>
        <v>0</v>
      </c>
      <c r="H30" s="830">
        <v>0</v>
      </c>
      <c r="I30" s="831">
        <f>IF(Data!$H$5="Actual", SUM(D30+E30+F30+G30)/4, SUM(D30+E30+F30)/3)</f>
        <v>66610.333333333328</v>
      </c>
      <c r="J30" s="812" t="str">
        <f>IF(I30&lt;&gt;0,IF((G30-I30)/I30&gt;0.15,"Explain",IF((G30-I30)/I30&lt;-0.15,"Explain","")),"")</f>
        <v>Explain</v>
      </c>
      <c r="K30" s="812" t="str">
        <f>IF(I30&lt;&gt;0,IF((H30-I30)/I30&gt;0.15,"Explain",IF((H30-I30)/I30&lt; -0.15,"Explain","")),"")</f>
        <v>Explain</v>
      </c>
      <c r="L30" s="370"/>
      <c r="M30" s="185"/>
      <c r="N30" s="185"/>
      <c r="O30" s="185"/>
      <c r="P30" s="185"/>
      <c r="Q30" s="185"/>
      <c r="R30" s="185"/>
      <c r="S30" s="185"/>
      <c r="T30" s="185"/>
    </row>
    <row r="31" spans="1:20" ht="15">
      <c r="A31" s="185"/>
      <c r="B31" s="811"/>
      <c r="C31" s="792"/>
      <c r="D31" s="832"/>
      <c r="E31" s="832"/>
      <c r="F31" s="832"/>
      <c r="G31" s="833"/>
      <c r="H31" s="687"/>
      <c r="I31" s="826"/>
      <c r="J31" s="814"/>
      <c r="K31" s="814"/>
      <c r="L31" s="370"/>
      <c r="M31" s="185"/>
      <c r="N31" s="185"/>
      <c r="O31" s="185"/>
      <c r="P31" s="185"/>
      <c r="Q31" s="185"/>
      <c r="R31" s="185"/>
      <c r="S31" s="185"/>
      <c r="T31" s="185"/>
    </row>
    <row r="32" spans="1:20" ht="15">
      <c r="A32" s="185"/>
      <c r="B32" s="811"/>
      <c r="C32" s="792" t="s">
        <v>544</v>
      </c>
      <c r="D32" s="834">
        <f t="shared" ref="D32:I32" si="2">SUM(D27:D30)</f>
        <v>185152</v>
      </c>
      <c r="E32" s="834">
        <f t="shared" si="2"/>
        <v>73639</v>
      </c>
      <c r="F32" s="834">
        <f t="shared" si="2"/>
        <v>71013</v>
      </c>
      <c r="G32" s="834">
        <f t="shared" si="2"/>
        <v>0</v>
      </c>
      <c r="H32" s="834">
        <f t="shared" si="2"/>
        <v>0</v>
      </c>
      <c r="I32" s="834">
        <f t="shared" si="2"/>
        <v>109934.66666666666</v>
      </c>
      <c r="J32" s="815"/>
      <c r="K32" s="815"/>
      <c r="L32" s="370"/>
      <c r="M32" s="185"/>
      <c r="N32" s="185"/>
      <c r="O32" s="185"/>
      <c r="P32" s="185"/>
      <c r="Q32" s="185"/>
      <c r="R32" s="185"/>
      <c r="S32" s="185"/>
      <c r="T32" s="185"/>
    </row>
    <row r="33" spans="1:20" ht="15">
      <c r="A33" s="185"/>
      <c r="B33" s="811"/>
      <c r="C33" s="792"/>
      <c r="D33" s="828"/>
      <c r="E33" s="828"/>
      <c r="F33" s="828"/>
      <c r="G33" s="687"/>
      <c r="H33" s="687"/>
      <c r="I33" s="826"/>
      <c r="J33" s="814"/>
      <c r="K33" s="814"/>
      <c r="L33" s="370"/>
      <c r="M33" s="185"/>
      <c r="N33" s="185"/>
      <c r="O33" s="185"/>
      <c r="P33" s="185"/>
      <c r="Q33" s="185"/>
      <c r="R33" s="185"/>
      <c r="S33" s="185"/>
      <c r="T33" s="185"/>
    </row>
    <row r="34" spans="1:20" ht="15">
      <c r="A34" s="185"/>
      <c r="B34" s="811">
        <v>640</v>
      </c>
      <c r="C34" s="792" t="s">
        <v>533</v>
      </c>
      <c r="D34" s="825">
        <f>Data!B34</f>
        <v>0</v>
      </c>
      <c r="E34" s="825">
        <f>Data!C34</f>
        <v>0</v>
      </c>
      <c r="F34" s="825">
        <f>Data!D34</f>
        <v>0</v>
      </c>
      <c r="G34" s="826">
        <f>Data!E34</f>
        <v>0</v>
      </c>
      <c r="H34" s="827">
        <v>0</v>
      </c>
      <c r="I34" s="825">
        <f>IF(Data!$H$5="Actual", SUM(D34+E34+F34+G34)/4, SUM(D34+E34+F34)/3)</f>
        <v>0</v>
      </c>
      <c r="J34" s="812" t="str">
        <f t="shared" ref="J34:J41" si="3">IF(I34&lt;&gt;0,IF((G34-I34)/I34&gt;0.15,"Explain",IF((G34-I34)/I34&lt;-0.15,"Explain","")),"")</f>
        <v/>
      </c>
      <c r="K34" s="812" t="str">
        <f t="shared" ref="K34:K41" si="4">IF(I34&lt;&gt;0,IF((H34-I34)/I34&gt;0.15,"Explain",IF((H34-I34)/I34&lt; -0.15,"Explain","")),"")</f>
        <v/>
      </c>
      <c r="L34" s="370"/>
      <c r="M34" s="185"/>
      <c r="N34" s="185"/>
      <c r="O34" s="185"/>
      <c r="P34" s="185"/>
      <c r="Q34" s="185"/>
      <c r="R34" s="185"/>
      <c r="S34" s="185"/>
      <c r="T34" s="185"/>
    </row>
    <row r="35" spans="1:20" ht="15">
      <c r="A35" s="185"/>
      <c r="B35" s="811">
        <v>641</v>
      </c>
      <c r="C35" s="792" t="s">
        <v>535</v>
      </c>
      <c r="D35" s="828">
        <f>Data!B35</f>
        <v>0</v>
      </c>
      <c r="E35" s="828">
        <f>Data!C35</f>
        <v>0</v>
      </c>
      <c r="F35" s="828">
        <f>Data!D35</f>
        <v>0</v>
      </c>
      <c r="G35" s="829">
        <f>Data!E35</f>
        <v>0</v>
      </c>
      <c r="H35" s="830">
        <v>0</v>
      </c>
      <c r="I35" s="828">
        <f>IF(Data!$H$5="Actual", SUM(D35+E35+F35+G35)/4, SUM(D35+E35+F35)/3)</f>
        <v>0</v>
      </c>
      <c r="J35" s="812" t="str">
        <f t="shared" si="3"/>
        <v/>
      </c>
      <c r="K35" s="812" t="str">
        <f t="shared" si="4"/>
        <v/>
      </c>
      <c r="L35" s="370"/>
      <c r="M35" s="185"/>
      <c r="N35" s="185"/>
      <c r="O35" s="185"/>
      <c r="P35" s="185"/>
      <c r="Q35" s="185"/>
      <c r="R35" s="185"/>
      <c r="S35" s="185"/>
      <c r="T35" s="185"/>
    </row>
    <row r="36" spans="1:20" ht="15">
      <c r="A36" s="185"/>
      <c r="B36" s="811">
        <v>650</v>
      </c>
      <c r="C36" s="792" t="s">
        <v>545</v>
      </c>
      <c r="D36" s="828">
        <f>Data!B36</f>
        <v>2216402</v>
      </c>
      <c r="E36" s="828">
        <f>Data!C36</f>
        <v>2315334</v>
      </c>
      <c r="F36" s="828">
        <f>Data!D36</f>
        <v>2333071</v>
      </c>
      <c r="G36" s="829">
        <f>Data!E36</f>
        <v>0</v>
      </c>
      <c r="H36" s="681">
        <v>0</v>
      </c>
      <c r="I36" s="828">
        <f>IF(Data!$H$5="Actual", SUM(D36+E36+F36+G36)/4, SUM(D36+E36+F36)/3)</f>
        <v>2288269</v>
      </c>
      <c r="J36" s="812" t="str">
        <f t="shared" si="3"/>
        <v>Explain</v>
      </c>
      <c r="K36" s="812" t="str">
        <f t="shared" si="4"/>
        <v>Explain</v>
      </c>
      <c r="L36" s="370"/>
      <c r="M36" s="185"/>
      <c r="N36" s="185"/>
      <c r="O36" s="185"/>
      <c r="P36" s="185"/>
      <c r="Q36" s="185"/>
      <c r="R36" s="185"/>
      <c r="S36" s="185"/>
      <c r="T36" s="185"/>
    </row>
    <row r="37" spans="1:20" ht="15">
      <c r="A37" s="185"/>
      <c r="B37" s="811">
        <v>651</v>
      </c>
      <c r="C37" s="792" t="s">
        <v>546</v>
      </c>
      <c r="D37" s="828">
        <f>Data!B37</f>
        <v>322793</v>
      </c>
      <c r="E37" s="828">
        <f>Data!C37</f>
        <v>336127</v>
      </c>
      <c r="F37" s="828">
        <f>Data!D37</f>
        <v>344876</v>
      </c>
      <c r="G37" s="829">
        <f>Data!E37</f>
        <v>0</v>
      </c>
      <c r="H37" s="830">
        <v>0</v>
      </c>
      <c r="I37" s="828">
        <f>IF(Data!$H$5="Actual", SUM(D37+E37+F37+G37)/4, SUM(D37+E37+F37)/3)</f>
        <v>334598.66666666669</v>
      </c>
      <c r="J37" s="812" t="str">
        <f t="shared" si="3"/>
        <v>Explain</v>
      </c>
      <c r="K37" s="812" t="str">
        <f t="shared" si="4"/>
        <v>Explain</v>
      </c>
      <c r="L37" s="370"/>
      <c r="M37" s="185"/>
      <c r="N37" s="185"/>
      <c r="O37" s="185"/>
      <c r="P37" s="185"/>
      <c r="Q37" s="185"/>
      <c r="R37" s="185"/>
      <c r="S37" s="185"/>
      <c r="T37" s="185"/>
    </row>
    <row r="38" spans="1:20" ht="15">
      <c r="A38" s="185"/>
      <c r="B38" s="811">
        <v>652</v>
      </c>
      <c r="C38" s="792" t="s">
        <v>547</v>
      </c>
      <c r="D38" s="828">
        <f>Data!B38</f>
        <v>0</v>
      </c>
      <c r="E38" s="828">
        <f>Data!C38</f>
        <v>0</v>
      </c>
      <c r="F38" s="828">
        <f>Data!D38</f>
        <v>0</v>
      </c>
      <c r="G38" s="829">
        <f>Data!E38</f>
        <v>0</v>
      </c>
      <c r="H38" s="830">
        <v>0</v>
      </c>
      <c r="I38" s="828">
        <f>IF(Data!$H$5="Actual", SUM(D38+E38+F38+G38)/4, SUM(D38+E38+F38)/3)</f>
        <v>0</v>
      </c>
      <c r="J38" s="812" t="str">
        <f t="shared" si="3"/>
        <v/>
      </c>
      <c r="K38" s="812" t="str">
        <f t="shared" si="4"/>
        <v/>
      </c>
      <c r="L38" s="370"/>
      <c r="M38" s="185"/>
      <c r="N38" s="185"/>
      <c r="O38" s="185"/>
      <c r="P38" s="185"/>
      <c r="Q38" s="185"/>
      <c r="R38" s="185"/>
      <c r="S38" s="185"/>
      <c r="T38" s="185"/>
    </row>
    <row r="39" spans="1:20" ht="15">
      <c r="A39" s="185"/>
      <c r="B39" s="811">
        <v>653</v>
      </c>
      <c r="C39" s="792" t="s">
        <v>548</v>
      </c>
      <c r="D39" s="828">
        <f>Data!B39</f>
        <v>366150</v>
      </c>
      <c r="E39" s="828">
        <f>Data!C39</f>
        <v>361343</v>
      </c>
      <c r="F39" s="828">
        <f>Data!D39</f>
        <v>412934</v>
      </c>
      <c r="G39" s="829">
        <f>Data!E39</f>
        <v>0</v>
      </c>
      <c r="H39" s="830">
        <v>0</v>
      </c>
      <c r="I39" s="828">
        <f>IF(Data!$H$5="Actual", SUM(D39+E39+F39+G39)/4, SUM(D39+E39+F39)/3)</f>
        <v>380142.33333333331</v>
      </c>
      <c r="J39" s="812" t="str">
        <f t="shared" si="3"/>
        <v>Explain</v>
      </c>
      <c r="K39" s="812" t="str">
        <f t="shared" si="4"/>
        <v>Explain</v>
      </c>
      <c r="L39" s="370"/>
      <c r="M39" s="185"/>
      <c r="N39" s="185"/>
      <c r="O39" s="185"/>
      <c r="P39" s="185"/>
      <c r="Q39" s="185"/>
      <c r="R39" s="185"/>
      <c r="S39" s="185"/>
      <c r="T39" s="185"/>
    </row>
    <row r="40" spans="1:20" ht="15">
      <c r="A40" s="185"/>
      <c r="B40" s="811">
        <v>654</v>
      </c>
      <c r="C40" s="792" t="s">
        <v>549</v>
      </c>
      <c r="D40" s="828">
        <f>Data!B40</f>
        <v>0</v>
      </c>
      <c r="E40" s="828">
        <f>Data!C40</f>
        <v>0</v>
      </c>
      <c r="F40" s="828">
        <f>Data!D40</f>
        <v>0</v>
      </c>
      <c r="G40" s="829">
        <f>Data!E40</f>
        <v>0</v>
      </c>
      <c r="H40" s="830">
        <v>0</v>
      </c>
      <c r="I40" s="828">
        <f>IF(Data!$H$5="Actual", SUM(D40+E40+F40+G40)/4, SUM(D40+E40+F40)/3)</f>
        <v>0</v>
      </c>
      <c r="J40" s="812" t="str">
        <f t="shared" si="3"/>
        <v/>
      </c>
      <c r="K40" s="812" t="str">
        <f t="shared" si="4"/>
        <v/>
      </c>
      <c r="L40" s="370"/>
      <c r="M40" s="185"/>
      <c r="N40" s="185"/>
      <c r="O40" s="185"/>
      <c r="P40" s="185"/>
      <c r="Q40" s="185"/>
      <c r="R40" s="185"/>
      <c r="S40" s="185"/>
      <c r="T40" s="185"/>
    </row>
    <row r="41" spans="1:20" ht="15">
      <c r="A41" s="185"/>
      <c r="B41" s="811">
        <v>655</v>
      </c>
      <c r="C41" s="792" t="s">
        <v>550</v>
      </c>
      <c r="D41" s="828">
        <f>Data!B41</f>
        <v>66157</v>
      </c>
      <c r="E41" s="828">
        <f>Data!C41</f>
        <v>70113</v>
      </c>
      <c r="F41" s="828">
        <f>Data!D41</f>
        <v>44182</v>
      </c>
      <c r="G41" s="829">
        <f>Data!E41</f>
        <v>0</v>
      </c>
      <c r="H41" s="830">
        <v>0</v>
      </c>
      <c r="I41" s="828">
        <f>IF(Data!$H$5="Actual", SUM(D41+E41+F41+G41)/4, SUM(D41+E41+F41)/3)</f>
        <v>60150.666666666664</v>
      </c>
      <c r="J41" s="812" t="str">
        <f t="shared" si="3"/>
        <v>Explain</v>
      </c>
      <c r="K41" s="812" t="str">
        <f t="shared" si="4"/>
        <v>Explain</v>
      </c>
      <c r="L41" s="370"/>
      <c r="M41" s="185"/>
      <c r="N41" s="185"/>
      <c r="O41" s="185"/>
      <c r="P41" s="185"/>
      <c r="Q41" s="185"/>
      <c r="R41" s="185"/>
      <c r="S41" s="185"/>
      <c r="T41" s="185"/>
    </row>
    <row r="42" spans="1:20" ht="14.25">
      <c r="A42" s="185"/>
      <c r="B42" s="693"/>
      <c r="C42" s="682"/>
      <c r="D42" s="835"/>
      <c r="E42" s="835"/>
      <c r="F42" s="835"/>
      <c r="G42" s="835"/>
      <c r="H42" s="744"/>
      <c r="I42" s="835"/>
      <c r="J42" s="816"/>
      <c r="K42" s="816"/>
      <c r="L42" s="370"/>
      <c r="M42" s="185"/>
      <c r="N42" s="185"/>
      <c r="O42" s="185"/>
      <c r="P42" s="185"/>
      <c r="Q42" s="185"/>
      <c r="R42" s="185"/>
      <c r="S42" s="185"/>
      <c r="T42" s="185"/>
    </row>
    <row r="43" spans="1:20" ht="14.25">
      <c r="A43" s="185"/>
      <c r="B43" s="693"/>
      <c r="C43" s="682" t="s">
        <v>551</v>
      </c>
      <c r="D43" s="836">
        <f>SUM(D34:D41)</f>
        <v>2971502</v>
      </c>
      <c r="E43" s="836">
        <f>SUM(E34:E41)</f>
        <v>3082917</v>
      </c>
      <c r="F43" s="836">
        <f>SUM(F34:F41)</f>
        <v>3135063</v>
      </c>
      <c r="G43" s="836">
        <f>SUM(G34:G41)</f>
        <v>0</v>
      </c>
      <c r="H43" s="836">
        <f>SUM(H34:H41)</f>
        <v>0</v>
      </c>
      <c r="I43" s="834">
        <f>SUM(D43+E43+F43)/3</f>
        <v>3063160.6666666665</v>
      </c>
      <c r="J43" s="813"/>
      <c r="K43" s="813"/>
      <c r="L43" s="370"/>
      <c r="M43" s="185"/>
      <c r="N43" s="185"/>
      <c r="O43" s="185"/>
      <c r="P43" s="185"/>
      <c r="Q43" s="185"/>
      <c r="R43" s="185"/>
      <c r="S43" s="185"/>
      <c r="T43" s="185"/>
    </row>
    <row r="44" spans="1:20">
      <c r="A44" s="185"/>
      <c r="B44" s="700"/>
      <c r="C44" s="673"/>
      <c r="D44" s="733"/>
      <c r="E44" s="733"/>
      <c r="F44" s="733"/>
      <c r="G44" s="733"/>
      <c r="H44" s="733"/>
      <c r="I44" s="733"/>
      <c r="J44" s="810"/>
      <c r="K44" s="810"/>
      <c r="L44" s="370"/>
      <c r="M44" s="185"/>
      <c r="N44" s="185"/>
      <c r="O44" s="185"/>
      <c r="P44" s="185"/>
      <c r="Q44" s="185"/>
      <c r="R44" s="185"/>
      <c r="S44" s="185"/>
      <c r="T44" s="185"/>
    </row>
    <row r="45" spans="1:20" ht="13.5" thickBot="1">
      <c r="A45" s="185"/>
      <c r="B45" s="817"/>
      <c r="C45" s="818"/>
      <c r="D45" s="819"/>
      <c r="E45" s="819"/>
      <c r="F45" s="819"/>
      <c r="G45" s="819"/>
      <c r="H45" s="819"/>
      <c r="I45" s="819"/>
      <c r="J45" s="820"/>
      <c r="K45" s="820"/>
      <c r="L45" s="386"/>
      <c r="M45" s="185"/>
      <c r="N45" s="185"/>
      <c r="O45" s="185"/>
      <c r="P45" s="185"/>
      <c r="Q45" s="185"/>
      <c r="R45" s="185"/>
      <c r="S45" s="185"/>
      <c r="T45" s="185"/>
    </row>
    <row r="46" spans="1:20" ht="13.5" thickTop="1">
      <c r="A46" s="185"/>
      <c r="B46" s="721"/>
      <c r="C46" s="316"/>
      <c r="D46" s="766"/>
      <c r="E46" s="766"/>
      <c r="F46" s="766"/>
      <c r="G46" s="766"/>
      <c r="H46" s="766"/>
      <c r="I46" s="766"/>
      <c r="J46" s="752"/>
      <c r="K46" s="752"/>
      <c r="L46" s="185"/>
      <c r="M46" s="185"/>
      <c r="N46" s="185"/>
      <c r="O46" s="185"/>
      <c r="P46" s="185"/>
      <c r="Q46" s="185"/>
      <c r="R46" s="185"/>
      <c r="S46" s="185"/>
      <c r="T46" s="185"/>
    </row>
    <row r="47" spans="1:20">
      <c r="A47" s="185"/>
      <c r="B47" s="661"/>
      <c r="C47" s="186"/>
      <c r="D47" s="766"/>
      <c r="E47" s="766"/>
      <c r="F47" s="766"/>
      <c r="G47" s="766"/>
      <c r="H47" s="766"/>
      <c r="I47" s="766"/>
      <c r="J47" s="752"/>
      <c r="K47" s="752"/>
      <c r="L47" s="185"/>
      <c r="M47" s="185"/>
      <c r="N47" s="185"/>
      <c r="O47" s="185"/>
      <c r="P47" s="185"/>
      <c r="Q47" s="185"/>
      <c r="R47" s="185"/>
      <c r="S47" s="185"/>
      <c r="T47" s="185"/>
    </row>
    <row r="48" spans="1:20" ht="14.25" customHeight="1">
      <c r="A48" s="185"/>
      <c r="B48" s="661"/>
      <c r="C48" s="186"/>
      <c r="D48" s="766"/>
      <c r="E48" s="766"/>
      <c r="F48" s="766"/>
      <c r="G48" s="766"/>
      <c r="H48" s="766"/>
      <c r="I48" s="766"/>
      <c r="J48" s="752"/>
      <c r="K48" s="752"/>
      <c r="L48" s="185"/>
      <c r="M48" s="185"/>
      <c r="N48" s="185"/>
      <c r="O48" s="185"/>
      <c r="P48" s="185"/>
      <c r="Q48" s="185"/>
      <c r="R48" s="185"/>
      <c r="S48" s="185"/>
      <c r="T48" s="185"/>
    </row>
    <row r="49" spans="1:20">
      <c r="A49" s="185"/>
      <c r="B49" s="720"/>
      <c r="C49" s="186"/>
      <c r="D49" s="186"/>
      <c r="E49" s="186"/>
      <c r="F49" s="186"/>
      <c r="G49" s="186"/>
      <c r="H49" s="186"/>
      <c r="I49" s="659"/>
      <c r="J49" s="186"/>
      <c r="K49" s="659"/>
      <c r="L49" s="185"/>
      <c r="M49" s="185"/>
      <c r="N49" s="185"/>
      <c r="O49" s="185"/>
      <c r="P49" s="185"/>
      <c r="Q49" s="185"/>
      <c r="R49" s="185"/>
      <c r="S49" s="185"/>
      <c r="T49" s="185"/>
    </row>
    <row r="50" spans="1:20">
      <c r="A50" s="185"/>
      <c r="B50" s="848" t="str">
        <f>B2</f>
        <v>2015 Test Year</v>
      </c>
      <c r="C50" s="773"/>
      <c r="D50" s="1995" t="str">
        <f>D3</f>
        <v>MADISON WATER UTILITY</v>
      </c>
      <c r="E50" s="1996"/>
      <c r="F50" s="1996"/>
      <c r="G50" s="1996"/>
      <c r="H50" s="665"/>
      <c r="I50" s="666"/>
      <c r="J50" s="665"/>
      <c r="K50" s="666" t="s">
        <v>524</v>
      </c>
      <c r="L50" s="185"/>
      <c r="M50" s="185"/>
      <c r="N50" s="185"/>
      <c r="O50" s="185"/>
      <c r="P50" s="185"/>
      <c r="Q50" s="185"/>
      <c r="R50" s="185"/>
      <c r="S50" s="185"/>
      <c r="T50" s="185"/>
    </row>
    <row r="51" spans="1:20">
      <c r="A51" s="185"/>
      <c r="B51" s="774"/>
      <c r="C51" s="774"/>
      <c r="D51" s="773"/>
      <c r="E51" s="773"/>
      <c r="F51" s="773"/>
      <c r="G51" s="849"/>
      <c r="H51" s="667"/>
      <c r="I51" s="667"/>
      <c r="J51" s="773"/>
      <c r="K51" s="666" t="s">
        <v>552</v>
      </c>
      <c r="L51" s="185"/>
      <c r="M51" s="185"/>
      <c r="N51" s="185"/>
      <c r="O51" s="185"/>
      <c r="P51" s="185"/>
      <c r="Q51" s="185"/>
      <c r="R51" s="185"/>
      <c r="S51" s="185"/>
      <c r="T51" s="185"/>
    </row>
    <row r="52" spans="1:20">
      <c r="A52" s="185"/>
      <c r="B52" s="774"/>
      <c r="C52" s="773"/>
      <c r="D52" s="1997" t="s">
        <v>526</v>
      </c>
      <c r="E52" s="1996"/>
      <c r="F52" s="1996"/>
      <c r="G52" s="1996"/>
      <c r="H52" s="665"/>
      <c r="I52" s="665"/>
      <c r="J52" s="773"/>
      <c r="K52" s="773"/>
      <c r="L52" s="185"/>
      <c r="M52" s="185"/>
      <c r="N52" s="185"/>
      <c r="O52" s="185"/>
      <c r="P52" s="185"/>
      <c r="Q52" s="185"/>
      <c r="R52" s="185"/>
      <c r="S52" s="185"/>
      <c r="T52" s="185"/>
    </row>
    <row r="53" spans="1:20" ht="13.5" thickBot="1">
      <c r="A53" s="185"/>
      <c r="B53" s="775"/>
      <c r="C53" s="775"/>
      <c r="D53" s="1989" t="str">
        <f>D6</f>
        <v>Estimated for Test Year 2015</v>
      </c>
      <c r="E53" s="1990"/>
      <c r="F53" s="1990"/>
      <c r="G53" s="1990"/>
      <c r="H53" s="776"/>
      <c r="I53" s="776"/>
      <c r="J53" s="773"/>
      <c r="K53" s="773"/>
      <c r="L53" s="185"/>
      <c r="M53" s="185"/>
      <c r="N53" s="185"/>
      <c r="O53" s="185"/>
      <c r="P53" s="185"/>
      <c r="Q53" s="185"/>
      <c r="R53" s="185"/>
      <c r="S53" s="185"/>
      <c r="T53" s="185"/>
    </row>
    <row r="54" spans="1:20" ht="13.5" thickTop="1">
      <c r="A54" s="185"/>
      <c r="B54" s="871"/>
      <c r="C54" s="872"/>
      <c r="D54" s="1991"/>
      <c r="E54" s="1992"/>
      <c r="F54" s="1992"/>
      <c r="G54" s="1992"/>
      <c r="H54" s="873"/>
      <c r="I54" s="873"/>
      <c r="J54" s="794"/>
      <c r="K54" s="794"/>
      <c r="L54" s="368"/>
      <c r="M54" s="185"/>
      <c r="N54" s="185"/>
      <c r="O54" s="185"/>
      <c r="P54" s="185"/>
      <c r="Q54" s="185"/>
      <c r="R54" s="185"/>
      <c r="S54" s="185"/>
      <c r="T54" s="185"/>
    </row>
    <row r="55" spans="1:20">
      <c r="A55" s="185"/>
      <c r="B55" s="795"/>
      <c r="C55" s="796"/>
      <c r="D55" s="796"/>
      <c r="E55" s="796"/>
      <c r="F55" s="796"/>
      <c r="G55" s="874"/>
      <c r="H55" s="874"/>
      <c r="I55" s="875" t="str">
        <f>I8</f>
        <v>2011, 2012, 2013</v>
      </c>
      <c r="J55" s="781"/>
      <c r="K55" s="781"/>
      <c r="L55" s="370"/>
      <c r="M55" s="185"/>
      <c r="N55" s="185"/>
      <c r="O55" s="185"/>
      <c r="P55" s="185"/>
      <c r="Q55" s="185"/>
      <c r="R55" s="185"/>
      <c r="S55" s="185"/>
      <c r="T55" s="185"/>
    </row>
    <row r="56" spans="1:20">
      <c r="A56" s="185"/>
      <c r="B56" s="795" t="s">
        <v>528</v>
      </c>
      <c r="C56" s="796" t="s">
        <v>527</v>
      </c>
      <c r="D56" s="797"/>
      <c r="E56" s="798"/>
      <c r="F56" s="798"/>
      <c r="G56" s="803" t="str">
        <f>G9</f>
        <v>Estimated</v>
      </c>
      <c r="H56" s="804" t="s">
        <v>396</v>
      </c>
      <c r="I56" s="800" t="str">
        <f>I9</f>
        <v>3 Year</v>
      </c>
      <c r="J56" s="805" t="str">
        <f>G56</f>
        <v>Estimated</v>
      </c>
      <c r="K56" s="805" t="s">
        <v>396</v>
      </c>
      <c r="L56" s="370"/>
      <c r="M56" s="185"/>
      <c r="N56" s="185"/>
      <c r="O56" s="185"/>
      <c r="P56" s="185"/>
      <c r="Q56" s="185"/>
      <c r="R56" s="185"/>
      <c r="S56" s="185"/>
      <c r="T56" s="185"/>
    </row>
    <row r="57" spans="1:20">
      <c r="A57" s="185"/>
      <c r="B57" s="806" t="s">
        <v>529</v>
      </c>
      <c r="C57" s="789" t="s">
        <v>398</v>
      </c>
      <c r="D57" s="790">
        <f>D10</f>
        <v>2011</v>
      </c>
      <c r="E57" s="790">
        <f>E10</f>
        <v>2012</v>
      </c>
      <c r="F57" s="790">
        <f>F10</f>
        <v>2013</v>
      </c>
      <c r="G57" s="790">
        <f>G10</f>
        <v>2014</v>
      </c>
      <c r="H57" s="790">
        <f>H10</f>
        <v>2015</v>
      </c>
      <c r="I57" s="790" t="s">
        <v>256</v>
      </c>
      <c r="J57" s="784">
        <f>J10</f>
        <v>2014</v>
      </c>
      <c r="K57" s="784">
        <f>K10</f>
        <v>2015</v>
      </c>
      <c r="L57" s="370"/>
      <c r="M57" s="185"/>
      <c r="N57" s="185"/>
      <c r="O57" s="185"/>
      <c r="P57" s="185"/>
      <c r="Q57" s="185"/>
      <c r="R57" s="185"/>
      <c r="S57" s="185"/>
      <c r="T57" s="185"/>
    </row>
    <row r="58" spans="1:20">
      <c r="A58" s="185"/>
      <c r="B58" s="807"/>
      <c r="C58" s="780"/>
      <c r="D58" s="862"/>
      <c r="E58" s="782"/>
      <c r="F58" s="782"/>
      <c r="G58" s="737"/>
      <c r="H58" s="737"/>
      <c r="I58" s="779"/>
      <c r="J58" s="868"/>
      <c r="K58" s="868"/>
      <c r="L58" s="370"/>
      <c r="M58" s="185"/>
      <c r="N58" s="185"/>
      <c r="O58" s="185"/>
      <c r="P58" s="185"/>
      <c r="Q58" s="185"/>
      <c r="R58" s="185"/>
      <c r="S58" s="185"/>
      <c r="T58" s="185"/>
    </row>
    <row r="59" spans="1:20" ht="15" customHeight="1">
      <c r="A59" s="185"/>
      <c r="B59" s="811">
        <v>901</v>
      </c>
      <c r="C59" s="792" t="s">
        <v>553</v>
      </c>
      <c r="D59" s="825">
        <f>Data!B42</f>
        <v>108754</v>
      </c>
      <c r="E59" s="825">
        <f>Data!C42</f>
        <v>98671</v>
      </c>
      <c r="F59" s="825">
        <f>Data!D42</f>
        <v>177991</v>
      </c>
      <c r="G59" s="826">
        <f>Data!E42</f>
        <v>0</v>
      </c>
      <c r="H59" s="827">
        <v>0</v>
      </c>
      <c r="I59" s="825">
        <f>IF(Data!$H$5="Actual", SUM(D59+E59+F59+G59)/4, SUM(D59+E59+F59)/3)</f>
        <v>128472</v>
      </c>
      <c r="J59" s="840" t="str">
        <f>IF(I59&lt;&gt;0,IF((G59-I59)/I59&gt;0.15,"Explain",IF((G59-I59)/I59&lt;-0.15,"Explain","")),"")</f>
        <v>Explain</v>
      </c>
      <c r="K59" s="840" t="str">
        <f>IF(I59&lt;&gt;0,IF((H59-I59)/I59&gt;0.15,"Explain",IF((H59-I59)/I59&lt; -0.15,"Explain","")),"")</f>
        <v>Explain</v>
      </c>
      <c r="L59" s="370"/>
      <c r="M59" s="185"/>
      <c r="N59" s="185"/>
      <c r="O59" s="185"/>
      <c r="P59" s="185"/>
      <c r="Q59" s="185"/>
      <c r="R59" s="185"/>
      <c r="S59" s="185"/>
      <c r="T59" s="185"/>
    </row>
    <row r="60" spans="1:20" ht="15" customHeight="1">
      <c r="A60" s="185"/>
      <c r="B60" s="811">
        <v>902</v>
      </c>
      <c r="C60" s="792" t="s">
        <v>554</v>
      </c>
      <c r="D60" s="828">
        <f>Data!B43</f>
        <v>0</v>
      </c>
      <c r="E60" s="828">
        <f>Data!C43</f>
        <v>0</v>
      </c>
      <c r="F60" s="828">
        <f>Data!D43</f>
        <v>0</v>
      </c>
      <c r="G60" s="829">
        <f>Data!E43</f>
        <v>0</v>
      </c>
      <c r="H60" s="830">
        <v>0</v>
      </c>
      <c r="I60" s="828">
        <f>IF(Data!$H$5="Actual", SUM(D60+E60+F60+G60)/4, SUM(D60+E60+F60)/3)</f>
        <v>0</v>
      </c>
      <c r="J60" s="840" t="str">
        <f>IF(I60&lt;&gt;0,IF((G60-I60)/I60&gt;0.15,"Explain",IF((G60-I60)/I60&lt;-0.15,"Explain","")),"")</f>
        <v/>
      </c>
      <c r="K60" s="840" t="str">
        <f>IF(I60&lt;&gt;0,IF((H60-I60)/I60&gt;0.15,"Explain",IF((H60-I60)/I60&lt; -0.15,"Explain","")),"")</f>
        <v/>
      </c>
      <c r="L60" s="370"/>
      <c r="M60" s="185"/>
      <c r="N60" s="185"/>
      <c r="O60" s="185"/>
      <c r="P60" s="185"/>
      <c r="Q60" s="185"/>
      <c r="R60" s="185"/>
      <c r="S60" s="185"/>
      <c r="T60" s="185"/>
    </row>
    <row r="61" spans="1:20" ht="15" customHeight="1">
      <c r="A61" s="185"/>
      <c r="B61" s="811">
        <v>903</v>
      </c>
      <c r="C61" s="792" t="s">
        <v>555</v>
      </c>
      <c r="D61" s="828">
        <f>Data!B44</f>
        <v>327475</v>
      </c>
      <c r="E61" s="828">
        <f>Data!C44</f>
        <v>350310</v>
      </c>
      <c r="F61" s="828">
        <f>Data!D44</f>
        <v>224007</v>
      </c>
      <c r="G61" s="829">
        <f>Data!E44</f>
        <v>0</v>
      </c>
      <c r="H61" s="830">
        <v>0</v>
      </c>
      <c r="I61" s="828">
        <f>IF(Data!$H$5="Actual", SUM(D61+E61+F61+G61)/4, SUM(D61+E61+F61)/3)</f>
        <v>300597.33333333331</v>
      </c>
      <c r="J61" s="840" t="str">
        <f>IF(I61&lt;&gt;0,IF((G61-I61)/I61&gt;0.15,"Explain",IF((G61-I61)/I61&lt;-0.15,"Explain","")),"")</f>
        <v>Explain</v>
      </c>
      <c r="K61" s="840" t="str">
        <f>IF(I61&lt;&gt;0,IF((H61-I61)/I61&gt;0.15,"Explain",IF((H61-I61)/I61&lt; -0.15,"Explain","")),"")</f>
        <v>Explain</v>
      </c>
      <c r="L61" s="370"/>
      <c r="M61" s="185"/>
      <c r="N61" s="185"/>
      <c r="O61" s="185"/>
      <c r="P61" s="185"/>
      <c r="Q61" s="185"/>
      <c r="R61" s="185"/>
      <c r="S61" s="185"/>
      <c r="T61" s="185"/>
    </row>
    <row r="62" spans="1:20" ht="15" customHeight="1">
      <c r="A62" s="185"/>
      <c r="B62" s="811">
        <v>904</v>
      </c>
      <c r="C62" s="792" t="s">
        <v>556</v>
      </c>
      <c r="D62" s="828">
        <f>Data!B45</f>
        <v>72507</v>
      </c>
      <c r="E62" s="828">
        <f>Data!C45</f>
        <v>73942</v>
      </c>
      <c r="F62" s="828">
        <f>Data!D45</f>
        <v>75029</v>
      </c>
      <c r="G62" s="829">
        <f>Data!E45</f>
        <v>0</v>
      </c>
      <c r="H62" s="830">
        <v>0</v>
      </c>
      <c r="I62" s="828">
        <f>IF(Data!$H$5="Actual", SUM(D62+E62+F62+G62)/4, SUM(D62+E62+F62)/3)</f>
        <v>73826</v>
      </c>
      <c r="J62" s="840" t="str">
        <f>IF(I62&lt;&gt;0,IF((G62-I62)/I62&gt;0.15,"Explain",IF((G62-I62)/I62&lt;-0.15,"Explain","")),"")</f>
        <v>Explain</v>
      </c>
      <c r="K62" s="840" t="str">
        <f>IF(I62&lt;&gt;0,IF((H62-I62)/I62&gt;0.15,"Explain",IF((H62-I62)/I62&lt; -0.15,"Explain","")),"")</f>
        <v>Explain</v>
      </c>
      <c r="L62" s="370"/>
      <c r="M62" s="185"/>
      <c r="N62" s="185"/>
      <c r="O62" s="185"/>
      <c r="P62" s="185"/>
      <c r="Q62" s="185"/>
      <c r="R62" s="185"/>
      <c r="S62" s="185"/>
      <c r="T62" s="185"/>
    </row>
    <row r="63" spans="1:20" ht="15" customHeight="1">
      <c r="A63" s="185"/>
      <c r="B63" s="811">
        <v>906</v>
      </c>
      <c r="C63" s="792" t="s">
        <v>557</v>
      </c>
      <c r="D63" s="828">
        <f>Data!B46</f>
        <v>177728</v>
      </c>
      <c r="E63" s="828">
        <f>Data!C46</f>
        <v>167490</v>
      </c>
      <c r="F63" s="828">
        <f>Data!D46</f>
        <v>164135</v>
      </c>
      <c r="G63" s="829">
        <f>Data!E46</f>
        <v>0</v>
      </c>
      <c r="H63" s="830">
        <v>0</v>
      </c>
      <c r="I63" s="828">
        <f>IF(Data!$H$5="Actual", SUM(D63+E63+F63+G63)/4, SUM(D63+E63+F63)/3)</f>
        <v>169784.33333333334</v>
      </c>
      <c r="J63" s="840" t="str">
        <f>IF(I63&lt;&gt;0,IF((G63-I63)/I63&gt;0.15,"Explain",IF((G63-I63)/I63&lt;-0.15,"Explain","")),"")</f>
        <v>Explain</v>
      </c>
      <c r="K63" s="840" t="str">
        <f>IF(I63&lt;&gt;0,IF((H63-I63)/I63&gt;0.15,"Explain",IF((H63-I63)/I63&lt; -0.15,"Explain","")),"")</f>
        <v>Explain</v>
      </c>
      <c r="L63" s="370"/>
      <c r="M63" s="185"/>
      <c r="N63" s="185"/>
      <c r="O63" s="185"/>
      <c r="P63" s="185"/>
      <c r="Q63" s="185"/>
      <c r="R63" s="185"/>
      <c r="S63" s="185"/>
      <c r="T63" s="185"/>
    </row>
    <row r="64" spans="1:20" ht="15" customHeight="1">
      <c r="A64" s="185"/>
      <c r="B64" s="811"/>
      <c r="C64" s="792"/>
      <c r="D64" s="832"/>
      <c r="E64" s="832"/>
      <c r="F64" s="832"/>
      <c r="G64" s="833"/>
      <c r="H64" s="833"/>
      <c r="I64" s="878"/>
      <c r="J64" s="843"/>
      <c r="K64" s="843"/>
      <c r="L64" s="370"/>
      <c r="M64" s="185"/>
      <c r="N64" s="185"/>
      <c r="O64" s="185"/>
      <c r="P64" s="185"/>
      <c r="Q64" s="185"/>
      <c r="R64" s="185"/>
      <c r="S64" s="185"/>
      <c r="T64" s="185"/>
    </row>
    <row r="65" spans="1:20" ht="15" customHeight="1">
      <c r="A65" s="185"/>
      <c r="B65" s="811"/>
      <c r="C65" s="792" t="s">
        <v>558</v>
      </c>
      <c r="D65" s="834">
        <f>SUM(D59:D63)</f>
        <v>686464</v>
      </c>
      <c r="E65" s="834">
        <f>SUM(E59:E63)</f>
        <v>690413</v>
      </c>
      <c r="F65" s="834">
        <f>SUM(F59:F63)</f>
        <v>641162</v>
      </c>
      <c r="G65" s="834">
        <f>SUM(G59:G63)</f>
        <v>0</v>
      </c>
      <c r="H65" s="834">
        <f>SUM(H59:H63)</f>
        <v>0</v>
      </c>
      <c r="I65" s="834">
        <f>SUM(D65+E65+F65)/3</f>
        <v>672679.66666666663</v>
      </c>
      <c r="J65" s="843"/>
      <c r="K65" s="843"/>
      <c r="L65" s="370"/>
      <c r="M65" s="185"/>
      <c r="N65" s="185"/>
      <c r="O65" s="185"/>
      <c r="P65" s="185"/>
      <c r="Q65" s="185"/>
      <c r="R65" s="185"/>
      <c r="S65" s="185"/>
      <c r="T65" s="185"/>
    </row>
    <row r="66" spans="1:20" ht="15" customHeight="1">
      <c r="A66" s="185"/>
      <c r="B66" s="811"/>
      <c r="C66" s="792"/>
      <c r="D66" s="832"/>
      <c r="E66" s="832"/>
      <c r="F66" s="832"/>
      <c r="G66" s="833"/>
      <c r="H66" s="833"/>
      <c r="I66" s="878"/>
      <c r="J66" s="843"/>
      <c r="K66" s="843"/>
      <c r="L66" s="370"/>
      <c r="M66" s="185"/>
      <c r="N66" s="185"/>
      <c r="O66" s="185"/>
      <c r="P66" s="185"/>
      <c r="Q66" s="185"/>
      <c r="R66" s="185"/>
      <c r="S66" s="185"/>
      <c r="T66" s="185"/>
    </row>
    <row r="67" spans="1:20" ht="15" customHeight="1">
      <c r="A67" s="185"/>
      <c r="B67" s="811">
        <v>910</v>
      </c>
      <c r="C67" s="792" t="s">
        <v>559</v>
      </c>
      <c r="D67" s="834">
        <f>Data!B47</f>
        <v>409390</v>
      </c>
      <c r="E67" s="834">
        <f>Data!C47</f>
        <v>371279</v>
      </c>
      <c r="F67" s="834">
        <f>Data!D47</f>
        <v>293905</v>
      </c>
      <c r="G67" s="879">
        <f>Data!E47</f>
        <v>0</v>
      </c>
      <c r="H67" s="887">
        <v>0</v>
      </c>
      <c r="I67" s="834">
        <f>IF(Data!$H$5="Actual", SUM(D67+E67+F67+G67)/4, SUM(D67+E67+F67)/3)</f>
        <v>358191.33333333331</v>
      </c>
      <c r="J67" s="840" t="str">
        <f>IF(I67&lt;&gt;0,IF((G67-I67)/I67&gt;0.15,"Explain",IF((G67-I67)/I67&lt;-0.15,"Explain","")),"")</f>
        <v>Explain</v>
      </c>
      <c r="K67" s="840" t="str">
        <f>IF(I67&lt;&gt;0,IF((H67-I67)/I67&gt;0.15,"Explain",IF((H67-I67)/I67&lt; -0.15,"Explain","")),"")</f>
        <v>Explain</v>
      </c>
      <c r="L67" s="370"/>
      <c r="M67" s="185"/>
      <c r="N67" s="185"/>
      <c r="O67" s="185"/>
      <c r="P67" s="185"/>
      <c r="Q67" s="185"/>
      <c r="R67" s="185"/>
      <c r="S67" s="185"/>
      <c r="T67" s="185"/>
    </row>
    <row r="68" spans="1:20" ht="15" customHeight="1">
      <c r="A68" s="185"/>
      <c r="B68" s="880"/>
      <c r="C68" s="792"/>
      <c r="D68" s="828"/>
      <c r="E68" s="828"/>
      <c r="F68" s="828"/>
      <c r="G68" s="687"/>
      <c r="H68" s="687"/>
      <c r="I68" s="826"/>
      <c r="J68" s="810"/>
      <c r="K68" s="843"/>
      <c r="L68" s="370"/>
      <c r="M68" s="185"/>
      <c r="N68" s="185"/>
      <c r="O68" s="185"/>
      <c r="P68" s="185"/>
      <c r="Q68" s="185"/>
      <c r="R68" s="185"/>
      <c r="S68" s="185"/>
      <c r="T68" s="185"/>
    </row>
    <row r="69" spans="1:20" ht="15" customHeight="1">
      <c r="A69" s="185"/>
      <c r="B69" s="881">
        <v>920</v>
      </c>
      <c r="C69" s="792" t="s">
        <v>560</v>
      </c>
      <c r="D69" s="825">
        <f>Data!B48</f>
        <v>9896</v>
      </c>
      <c r="E69" s="825">
        <f>Data!C48</f>
        <v>8837</v>
      </c>
      <c r="F69" s="825">
        <f>Data!D48</f>
        <v>103312</v>
      </c>
      <c r="G69" s="826">
        <f>Data!E48</f>
        <v>0</v>
      </c>
      <c r="H69" s="827">
        <v>0</v>
      </c>
      <c r="I69" s="825">
        <f>IF(Data!$H$5="Actual", SUM(D69+E69+F69+G69)/4, SUM(D69+E69+F69)/3)</f>
        <v>40681.666666666664</v>
      </c>
      <c r="J69" s="840" t="str">
        <f t="shared" ref="J69:J79" si="5">IF(I69&lt;&gt;0,IF((G69-I69)/I69&gt;0.15,"Explain",IF((G69-I69)/I69&lt;-0.15,"Explain","")),"")</f>
        <v>Explain</v>
      </c>
      <c r="K69" s="840" t="str">
        <f t="shared" ref="K69:K79" si="6">IF(I69&lt;&gt;0,IF((H69-I69)/I69&gt;0.15,"Explain",IF((H69-I69)/I69&lt; -0.15,"Explain","")),"")</f>
        <v>Explain</v>
      </c>
      <c r="L69" s="370"/>
      <c r="M69" s="185"/>
      <c r="N69" s="185"/>
      <c r="O69" s="185"/>
      <c r="P69" s="185"/>
      <c r="Q69" s="185"/>
      <c r="R69" s="185"/>
      <c r="S69" s="185"/>
      <c r="T69" s="185"/>
    </row>
    <row r="70" spans="1:20" ht="15" customHeight="1">
      <c r="A70" s="185"/>
      <c r="B70" s="811">
        <v>921</v>
      </c>
      <c r="C70" s="792" t="s">
        <v>561</v>
      </c>
      <c r="D70" s="828">
        <f>Data!B49</f>
        <v>0</v>
      </c>
      <c r="E70" s="828">
        <f>Data!C49</f>
        <v>0</v>
      </c>
      <c r="F70" s="828">
        <f>Data!D49</f>
        <v>0</v>
      </c>
      <c r="G70" s="829">
        <f>Data!E49</f>
        <v>0</v>
      </c>
      <c r="H70" s="830">
        <v>0</v>
      </c>
      <c r="I70" s="828">
        <f>IF(Data!$H$5="Actual", SUM(D70+E70+F70+G70)/4, SUM(D70+E70+F70)/3)</f>
        <v>0</v>
      </c>
      <c r="J70" s="840" t="str">
        <f t="shared" si="5"/>
        <v/>
      </c>
      <c r="K70" s="840" t="str">
        <f t="shared" si="6"/>
        <v/>
      </c>
      <c r="L70" s="370"/>
      <c r="M70" s="185"/>
      <c r="N70" s="185"/>
      <c r="O70" s="185"/>
      <c r="P70" s="185"/>
      <c r="Q70" s="185"/>
      <c r="R70" s="185"/>
      <c r="S70" s="185"/>
      <c r="T70" s="185"/>
    </row>
    <row r="71" spans="1:20" ht="15" customHeight="1">
      <c r="A71" s="185"/>
      <c r="B71" s="811">
        <v>922</v>
      </c>
      <c r="C71" s="792" t="s">
        <v>562</v>
      </c>
      <c r="D71" s="828">
        <f>Data!B50</f>
        <v>22790</v>
      </c>
      <c r="E71" s="828">
        <f>Data!C50</f>
        <v>25046</v>
      </c>
      <c r="F71" s="828">
        <f>Data!D50</f>
        <v>21027</v>
      </c>
      <c r="G71" s="829">
        <f>Data!E50</f>
        <v>0</v>
      </c>
      <c r="H71" s="830">
        <v>0</v>
      </c>
      <c r="I71" s="828">
        <f>IF(Data!$H$5="Actual", SUM(D71+E71+F71+G71)/4, SUM(D71+E71+F71)/3)</f>
        <v>22954.333333333332</v>
      </c>
      <c r="J71" s="840" t="str">
        <f t="shared" si="5"/>
        <v>Explain</v>
      </c>
      <c r="K71" s="840" t="str">
        <f t="shared" si="6"/>
        <v>Explain</v>
      </c>
      <c r="L71" s="370"/>
      <c r="M71" s="185"/>
      <c r="N71" s="185"/>
      <c r="O71" s="185"/>
      <c r="P71" s="185"/>
      <c r="Q71" s="185"/>
      <c r="R71" s="185"/>
      <c r="S71" s="185"/>
      <c r="T71" s="185"/>
    </row>
    <row r="72" spans="1:20" ht="15" customHeight="1">
      <c r="A72" s="185"/>
      <c r="B72" s="811">
        <v>923</v>
      </c>
      <c r="C72" s="792" t="s">
        <v>563</v>
      </c>
      <c r="D72" s="828">
        <f>Data!B51</f>
        <v>0</v>
      </c>
      <c r="E72" s="828">
        <f>Data!C51</f>
        <v>0</v>
      </c>
      <c r="F72" s="828">
        <f>Data!D51</f>
        <v>0</v>
      </c>
      <c r="G72" s="829">
        <f>Data!E51</f>
        <v>0</v>
      </c>
      <c r="H72" s="830">
        <v>0</v>
      </c>
      <c r="I72" s="828">
        <f>IF(Data!$H$5="Actual", SUM(D72+E72+F72+G72)/4, SUM(D72+E72+F72)/3)</f>
        <v>0</v>
      </c>
      <c r="J72" s="840" t="str">
        <f t="shared" si="5"/>
        <v/>
      </c>
      <c r="K72" s="840" t="str">
        <f t="shared" si="6"/>
        <v/>
      </c>
      <c r="L72" s="370"/>
      <c r="M72" s="185"/>
      <c r="N72" s="185"/>
      <c r="O72" s="185"/>
      <c r="P72" s="185"/>
      <c r="Q72" s="185"/>
      <c r="R72" s="185"/>
      <c r="S72" s="185"/>
      <c r="T72" s="185"/>
    </row>
    <row r="73" spans="1:20" ht="15" customHeight="1">
      <c r="A73" s="185"/>
      <c r="B73" s="811">
        <v>924</v>
      </c>
      <c r="C73" s="792" t="s">
        <v>564</v>
      </c>
      <c r="D73" s="828">
        <f>Data!B52</f>
        <v>70298</v>
      </c>
      <c r="E73" s="828">
        <f>Data!C52</f>
        <v>101883</v>
      </c>
      <c r="F73" s="828">
        <f>Data!D52</f>
        <v>117636</v>
      </c>
      <c r="G73" s="829">
        <f>Data!E52</f>
        <v>0</v>
      </c>
      <c r="H73" s="830">
        <v>0</v>
      </c>
      <c r="I73" s="828">
        <f>IF(Data!$H$5="Actual", SUM(D73+E73+F73+G73)/4, SUM(D73+E73+F73)/3)</f>
        <v>96605.666666666672</v>
      </c>
      <c r="J73" s="840" t="str">
        <f t="shared" si="5"/>
        <v>Explain</v>
      </c>
      <c r="K73" s="840" t="str">
        <f t="shared" si="6"/>
        <v>Explain</v>
      </c>
      <c r="L73" s="370"/>
      <c r="M73" s="185"/>
      <c r="N73" s="185"/>
      <c r="O73" s="185"/>
      <c r="P73" s="185"/>
      <c r="Q73" s="185"/>
      <c r="R73" s="185"/>
      <c r="S73" s="185"/>
      <c r="T73" s="185"/>
    </row>
    <row r="74" spans="1:20" ht="15" customHeight="1">
      <c r="A74" s="185"/>
      <c r="B74" s="811">
        <v>925</v>
      </c>
      <c r="C74" s="792" t="s">
        <v>565</v>
      </c>
      <c r="D74" s="828">
        <f>Data!B53</f>
        <v>219530</v>
      </c>
      <c r="E74" s="828">
        <f>Data!C53</f>
        <v>237542</v>
      </c>
      <c r="F74" s="828">
        <f>Data!D53</f>
        <v>234384</v>
      </c>
      <c r="G74" s="829">
        <f>Data!E53</f>
        <v>0</v>
      </c>
      <c r="H74" s="830">
        <v>0</v>
      </c>
      <c r="I74" s="828">
        <f>IF(Data!$H$5="Actual", SUM(D74+E74+F74+G74)/4, SUM(D74+E74+F74)/3)</f>
        <v>230485.33333333334</v>
      </c>
      <c r="J74" s="840" t="str">
        <f t="shared" si="5"/>
        <v>Explain</v>
      </c>
      <c r="K74" s="840" t="str">
        <f t="shared" si="6"/>
        <v>Explain</v>
      </c>
      <c r="L74" s="370"/>
      <c r="M74" s="185"/>
      <c r="N74" s="185"/>
      <c r="O74" s="185"/>
      <c r="P74" s="185"/>
      <c r="Q74" s="185"/>
      <c r="R74" s="185"/>
      <c r="S74" s="185"/>
      <c r="T74" s="185"/>
    </row>
    <row r="75" spans="1:20" ht="15" customHeight="1">
      <c r="A75" s="185"/>
      <c r="B75" s="811">
        <v>926</v>
      </c>
      <c r="C75" s="792" t="s">
        <v>566</v>
      </c>
      <c r="D75" s="828">
        <f>Data!B54</f>
        <v>81690</v>
      </c>
      <c r="E75" s="828">
        <f>Data!C54</f>
        <v>87445</v>
      </c>
      <c r="F75" s="828">
        <f>Data!D54</f>
        <v>90347</v>
      </c>
      <c r="G75" s="829">
        <f>Data!E54</f>
        <v>0</v>
      </c>
      <c r="H75" s="830">
        <v>0</v>
      </c>
      <c r="I75" s="828">
        <f>IF(Data!$H$5="Actual", SUM(D75+E75+F75+G75)/4, SUM(D75+E75+F75)/3)</f>
        <v>86494</v>
      </c>
      <c r="J75" s="840" t="str">
        <f t="shared" si="5"/>
        <v>Explain</v>
      </c>
      <c r="K75" s="840" t="str">
        <f t="shared" si="6"/>
        <v>Explain</v>
      </c>
      <c r="L75" s="370"/>
      <c r="M75" s="185"/>
      <c r="N75" s="185"/>
      <c r="O75" s="185"/>
      <c r="P75" s="185"/>
      <c r="Q75" s="185"/>
      <c r="R75" s="185"/>
      <c r="S75" s="185"/>
      <c r="T75" s="185"/>
    </row>
    <row r="76" spans="1:20" s="106" customFormat="1" ht="15" customHeight="1">
      <c r="A76" s="303"/>
      <c r="B76" s="811">
        <v>928</v>
      </c>
      <c r="C76" s="792" t="s">
        <v>567</v>
      </c>
      <c r="D76" s="828">
        <f>Data!B55</f>
        <v>376706</v>
      </c>
      <c r="E76" s="828">
        <f>Data!C55</f>
        <v>295263</v>
      </c>
      <c r="F76" s="828">
        <f>Data!D55</f>
        <v>363697</v>
      </c>
      <c r="G76" s="829">
        <f>Data!E55</f>
        <v>0</v>
      </c>
      <c r="H76" s="681">
        <v>0</v>
      </c>
      <c r="I76" s="828">
        <f>IF(Data!$H$5="Actual", SUM(D76+E76+F76+G76)/4, SUM(D76+E76+F76)/3)</f>
        <v>345222</v>
      </c>
      <c r="J76" s="840" t="str">
        <f t="shared" si="5"/>
        <v>Explain</v>
      </c>
      <c r="K76" s="840" t="str">
        <f t="shared" si="6"/>
        <v>Explain</v>
      </c>
      <c r="L76" s="370"/>
      <c r="M76" s="303"/>
      <c r="N76" s="303"/>
      <c r="O76" s="303"/>
      <c r="P76" s="303"/>
      <c r="Q76" s="303"/>
      <c r="R76" s="303"/>
      <c r="S76" s="303"/>
      <c r="T76" s="303"/>
    </row>
    <row r="77" spans="1:20" ht="15" customHeight="1">
      <c r="A77" s="185"/>
      <c r="B77" s="811">
        <v>930</v>
      </c>
      <c r="C77" s="792" t="s">
        <v>568</v>
      </c>
      <c r="D77" s="828">
        <f>Data!B56</f>
        <v>62900</v>
      </c>
      <c r="E77" s="828">
        <f>Data!C56</f>
        <v>85525</v>
      </c>
      <c r="F77" s="828">
        <f>Data!D56</f>
        <v>59520</v>
      </c>
      <c r="G77" s="829">
        <f>Data!E56</f>
        <v>0</v>
      </c>
      <c r="H77" s="830">
        <v>0</v>
      </c>
      <c r="I77" s="828">
        <f>IF(Data!$H$5="Actual", SUM(D77+E77+F77+G77)/4, SUM(D77+E77+F77)/3)</f>
        <v>69315</v>
      </c>
      <c r="J77" s="840" t="str">
        <f t="shared" si="5"/>
        <v>Explain</v>
      </c>
      <c r="K77" s="840" t="str">
        <f t="shared" si="6"/>
        <v>Explain</v>
      </c>
      <c r="L77" s="370"/>
      <c r="M77" s="185"/>
      <c r="N77" s="185"/>
      <c r="O77" s="185"/>
      <c r="P77" s="185"/>
      <c r="Q77" s="185"/>
      <c r="R77" s="185"/>
      <c r="S77" s="185"/>
      <c r="T77" s="185"/>
    </row>
    <row r="78" spans="1:20" ht="15" customHeight="1">
      <c r="A78" s="185"/>
      <c r="B78" s="811">
        <v>933</v>
      </c>
      <c r="C78" s="792" t="s">
        <v>569</v>
      </c>
      <c r="D78" s="828">
        <f>Data!B57</f>
        <v>243586</v>
      </c>
      <c r="E78" s="828">
        <f>Data!C57</f>
        <v>265757</v>
      </c>
      <c r="F78" s="828">
        <f>Data!D57</f>
        <v>274957</v>
      </c>
      <c r="G78" s="829">
        <f>Data!E57</f>
        <v>0</v>
      </c>
      <c r="H78" s="830">
        <v>0</v>
      </c>
      <c r="I78" s="828">
        <f>IF(Data!$H$5="Actual", SUM(D78+E78+F78+G78)/4, SUM(D78+E78+F78)/3)</f>
        <v>261433.33333333334</v>
      </c>
      <c r="J78" s="840" t="str">
        <f t="shared" si="5"/>
        <v>Explain</v>
      </c>
      <c r="K78" s="840" t="str">
        <f t="shared" si="6"/>
        <v>Explain</v>
      </c>
      <c r="L78" s="370"/>
      <c r="M78" s="185"/>
      <c r="N78" s="185"/>
      <c r="O78" s="185"/>
      <c r="P78" s="185"/>
      <c r="Q78" s="185"/>
      <c r="R78" s="185"/>
      <c r="S78" s="185"/>
      <c r="T78" s="185"/>
    </row>
    <row r="79" spans="1:20" ht="15" customHeight="1">
      <c r="A79" s="185"/>
      <c r="B79" s="811">
        <v>935</v>
      </c>
      <c r="C79" s="792" t="s">
        <v>570</v>
      </c>
      <c r="D79" s="828">
        <f>Data!B58</f>
        <v>625895</v>
      </c>
      <c r="E79" s="828">
        <f>Data!C58</f>
        <v>725110</v>
      </c>
      <c r="F79" s="828">
        <f>Data!D58</f>
        <v>672744</v>
      </c>
      <c r="G79" s="829">
        <f>Data!E58</f>
        <v>0</v>
      </c>
      <c r="H79" s="830">
        <v>0</v>
      </c>
      <c r="I79" s="828">
        <f>IF(Data!$H$5="Actual", SUM(D79+E79+F79+G79)/4, SUM(D79+E79+F79)/3)</f>
        <v>674583</v>
      </c>
      <c r="J79" s="840" t="str">
        <f t="shared" si="5"/>
        <v>Explain</v>
      </c>
      <c r="K79" s="840" t="str">
        <f t="shared" si="6"/>
        <v>Explain</v>
      </c>
      <c r="L79" s="370"/>
      <c r="M79" s="185"/>
      <c r="N79" s="185"/>
      <c r="O79" s="185"/>
      <c r="P79" s="185"/>
      <c r="Q79" s="185"/>
      <c r="R79" s="185"/>
      <c r="S79" s="185"/>
      <c r="T79" s="185"/>
    </row>
    <row r="80" spans="1:20" ht="15" customHeight="1">
      <c r="A80" s="185"/>
      <c r="B80" s="811"/>
      <c r="C80" s="792"/>
      <c r="D80" s="832"/>
      <c r="E80" s="832"/>
      <c r="F80" s="832"/>
      <c r="G80" s="833"/>
      <c r="H80" s="833"/>
      <c r="I80" s="878"/>
      <c r="J80" s="843"/>
      <c r="K80" s="843"/>
      <c r="L80" s="370"/>
      <c r="M80" s="185"/>
      <c r="N80" s="185"/>
      <c r="O80" s="185"/>
      <c r="P80" s="185"/>
      <c r="Q80" s="185"/>
      <c r="R80" s="185"/>
      <c r="S80" s="185"/>
      <c r="T80" s="185"/>
    </row>
    <row r="81" spans="1:20" ht="15" customHeight="1">
      <c r="A81" s="185"/>
      <c r="B81" s="882"/>
      <c r="C81" s="792" t="s">
        <v>571</v>
      </c>
      <c r="D81" s="834">
        <f t="shared" ref="D81:I81" si="7">SUM(D69:D70)-D71+SUM(D72:D79)</f>
        <v>1667711</v>
      </c>
      <c r="E81" s="834">
        <f t="shared" si="7"/>
        <v>1782316</v>
      </c>
      <c r="F81" s="834">
        <f t="shared" si="7"/>
        <v>1895570</v>
      </c>
      <c r="G81" s="834">
        <f t="shared" si="7"/>
        <v>0</v>
      </c>
      <c r="H81" s="834">
        <f t="shared" si="7"/>
        <v>0</v>
      </c>
      <c r="I81" s="834">
        <f t="shared" si="7"/>
        <v>1781865.6666666665</v>
      </c>
      <c r="J81" s="843"/>
      <c r="K81" s="843"/>
      <c r="L81" s="885"/>
      <c r="M81" s="185"/>
      <c r="N81" s="185"/>
      <c r="O81" s="185"/>
      <c r="P81" s="185"/>
      <c r="Q81" s="185"/>
      <c r="R81" s="185"/>
      <c r="S81" s="185"/>
      <c r="T81" s="185"/>
    </row>
    <row r="82" spans="1:20" ht="15" customHeight="1">
      <c r="A82" s="185"/>
      <c r="B82" s="882"/>
      <c r="C82" s="792"/>
      <c r="D82" s="832"/>
      <c r="E82" s="832"/>
      <c r="F82" s="832"/>
      <c r="G82" s="833"/>
      <c r="H82" s="833"/>
      <c r="I82" s="878"/>
      <c r="J82" s="843"/>
      <c r="K82" s="843"/>
      <c r="L82" s="370"/>
      <c r="M82" s="185"/>
      <c r="N82" s="185"/>
      <c r="O82" s="185"/>
      <c r="P82" s="185"/>
      <c r="Q82" s="185"/>
      <c r="R82" s="185"/>
      <c r="S82" s="185"/>
      <c r="T82" s="185"/>
    </row>
    <row r="83" spans="1:20" ht="15" customHeight="1" thickBot="1">
      <c r="A83" s="185"/>
      <c r="B83" s="882"/>
      <c r="C83" s="792" t="s">
        <v>572</v>
      </c>
      <c r="D83" s="745">
        <f t="shared" ref="D83:I83" si="8">ROUND(SUM(D17+D25+D32+D43+D65+D67+D81),0)</f>
        <v>5997504</v>
      </c>
      <c r="E83" s="745">
        <f t="shared" si="8"/>
        <v>6060571</v>
      </c>
      <c r="F83" s="745">
        <f t="shared" si="8"/>
        <v>6096800</v>
      </c>
      <c r="G83" s="745">
        <f t="shared" si="8"/>
        <v>0</v>
      </c>
      <c r="H83" s="745">
        <f t="shared" si="8"/>
        <v>0</v>
      </c>
      <c r="I83" s="745">
        <f t="shared" si="8"/>
        <v>6051625</v>
      </c>
      <c r="J83" s="843"/>
      <c r="K83" s="843"/>
      <c r="L83" s="885"/>
      <c r="M83" s="185"/>
      <c r="N83" s="185"/>
      <c r="O83" s="185"/>
      <c r="P83" s="185"/>
      <c r="Q83" s="185"/>
      <c r="R83" s="185"/>
      <c r="S83" s="185"/>
      <c r="T83" s="185"/>
    </row>
    <row r="84" spans="1:20" ht="15" thickTop="1">
      <c r="A84" s="185"/>
      <c r="B84" s="882"/>
      <c r="C84" s="792"/>
      <c r="D84" s="829"/>
      <c r="E84" s="829"/>
      <c r="F84" s="829"/>
      <c r="G84" s="829"/>
      <c r="H84" s="687"/>
      <c r="I84" s="687"/>
      <c r="J84" s="843"/>
      <c r="K84" s="843"/>
      <c r="L84" s="370"/>
      <c r="M84" s="185"/>
      <c r="N84" s="185"/>
      <c r="O84" s="185"/>
      <c r="P84" s="185"/>
      <c r="Q84" s="185"/>
      <c r="R84" s="185"/>
      <c r="S84" s="185"/>
      <c r="T84" s="185"/>
    </row>
    <row r="85" spans="1:20">
      <c r="A85" s="185"/>
      <c r="B85" s="807"/>
      <c r="C85" s="781"/>
      <c r="D85" s="853"/>
      <c r="E85" s="853"/>
      <c r="F85" s="853"/>
      <c r="G85" s="853"/>
      <c r="H85" s="676"/>
      <c r="I85" s="676"/>
      <c r="J85" s="843"/>
      <c r="K85" s="843"/>
      <c r="L85" s="370"/>
      <c r="M85" s="185"/>
      <c r="N85" s="185"/>
      <c r="O85" s="185"/>
      <c r="P85" s="185"/>
      <c r="Q85" s="185"/>
      <c r="R85" s="185"/>
      <c r="S85" s="185"/>
      <c r="T85" s="185"/>
    </row>
    <row r="86" spans="1:20" ht="15.75" customHeight="1">
      <c r="A86" s="185"/>
      <c r="B86" s="859" t="s">
        <v>423</v>
      </c>
      <c r="C86" s="886" t="str">
        <f>CONCATENATE("All ",TestYear-1," and test year ",TestYear," estimates that vary from the three year average by")</f>
        <v>All 2014 and test year 2015 estimates that vary from the three year average by</v>
      </c>
      <c r="D86" s="860"/>
      <c r="E86" s="860"/>
      <c r="F86" s="781"/>
      <c r="G86" s="781"/>
      <c r="H86" s="673"/>
      <c r="I86" s="673"/>
      <c r="J86" s="810"/>
      <c r="K86" s="810"/>
      <c r="L86" s="370"/>
      <c r="M86" s="185"/>
      <c r="N86" s="185"/>
      <c r="O86" s="185"/>
      <c r="P86" s="185"/>
      <c r="Q86" s="185"/>
      <c r="R86" s="185"/>
      <c r="S86" s="185"/>
      <c r="T86" s="185"/>
    </row>
    <row r="87" spans="1:20" ht="15.75" customHeight="1">
      <c r="A87" s="185"/>
      <c r="B87" s="861"/>
      <c r="C87" s="860" t="s">
        <v>982</v>
      </c>
      <c r="D87" s="860"/>
      <c r="E87" s="860"/>
      <c r="F87" s="851"/>
      <c r="G87" s="851"/>
      <c r="H87" s="738"/>
      <c r="I87" s="738"/>
      <c r="J87" s="843"/>
      <c r="K87" s="843"/>
      <c r="L87" s="370"/>
      <c r="M87" s="185"/>
      <c r="N87" s="185"/>
      <c r="O87" s="185"/>
      <c r="P87" s="185"/>
      <c r="Q87" s="185"/>
      <c r="R87" s="185"/>
      <c r="S87" s="185"/>
      <c r="T87" s="185"/>
    </row>
    <row r="88" spans="1:20" ht="15.75" customHeight="1">
      <c r="A88" s="185"/>
      <c r="B88" s="845"/>
      <c r="C88" s="731"/>
      <c r="D88" s="733"/>
      <c r="E88" s="733"/>
      <c r="F88" s="733"/>
      <c r="G88" s="733"/>
      <c r="H88" s="733"/>
      <c r="I88" s="733"/>
      <c r="J88" s="810"/>
      <c r="K88" s="810"/>
      <c r="L88" s="370"/>
      <c r="M88" s="185"/>
      <c r="N88" s="185"/>
      <c r="O88" s="185"/>
      <c r="P88" s="185"/>
      <c r="Q88" s="185"/>
      <c r="R88" s="185"/>
      <c r="S88" s="185"/>
      <c r="T88" s="185"/>
    </row>
    <row r="89" spans="1:20" ht="13.5" thickBot="1">
      <c r="A89" s="185"/>
      <c r="B89" s="846"/>
      <c r="C89" s="385"/>
      <c r="D89" s="385"/>
      <c r="E89" s="385"/>
      <c r="F89" s="385"/>
      <c r="G89" s="818"/>
      <c r="H89" s="385"/>
      <c r="I89" s="385"/>
      <c r="J89" s="820"/>
      <c r="K89" s="820"/>
      <c r="L89" s="386"/>
      <c r="M89" s="185"/>
      <c r="N89" s="185"/>
      <c r="O89" s="185"/>
      <c r="P89" s="185"/>
      <c r="Q89" s="185"/>
      <c r="R89" s="185"/>
      <c r="S89" s="185"/>
      <c r="T89" s="185"/>
    </row>
    <row r="90" spans="1:20" ht="13.5" thickTop="1">
      <c r="A90" s="185"/>
      <c r="B90" s="661"/>
      <c r="C90" s="185"/>
      <c r="D90" s="185"/>
      <c r="E90" s="185"/>
      <c r="F90" s="185"/>
      <c r="G90" s="186"/>
      <c r="H90" s="185"/>
      <c r="I90" s="185"/>
      <c r="J90" s="752"/>
      <c r="K90" s="752"/>
      <c r="L90" s="185"/>
      <c r="M90" s="185"/>
      <c r="N90" s="185"/>
      <c r="O90" s="185"/>
      <c r="P90" s="185"/>
      <c r="Q90" s="185"/>
      <c r="R90" s="185"/>
      <c r="S90" s="185"/>
      <c r="T90" s="185"/>
    </row>
    <row r="91" spans="1:20">
      <c r="A91" s="185"/>
      <c r="B91" s="661"/>
      <c r="C91" s="185"/>
      <c r="D91" s="185"/>
      <c r="E91" s="185"/>
      <c r="F91" s="185"/>
      <c r="G91" s="186"/>
      <c r="H91" s="185"/>
      <c r="I91" s="185"/>
      <c r="J91" s="752"/>
      <c r="K91" s="752"/>
      <c r="L91" s="185"/>
      <c r="M91" s="185"/>
      <c r="N91" s="185"/>
      <c r="O91" s="185"/>
      <c r="P91" s="185"/>
      <c r="Q91" s="185"/>
      <c r="R91" s="185"/>
      <c r="S91" s="185"/>
      <c r="T91" s="185"/>
    </row>
    <row r="92" spans="1:20">
      <c r="A92" s="185"/>
      <c r="B92" s="661"/>
      <c r="C92" s="185"/>
      <c r="D92" s="185"/>
      <c r="E92" s="185"/>
      <c r="F92" s="185"/>
      <c r="G92" s="186"/>
      <c r="H92" s="185"/>
      <c r="I92" s="185"/>
      <c r="J92" s="752"/>
      <c r="K92" s="752"/>
      <c r="L92" s="185"/>
      <c r="M92" s="185"/>
      <c r="N92" s="185"/>
      <c r="O92" s="185"/>
      <c r="P92" s="185"/>
      <c r="Q92" s="185"/>
      <c r="R92" s="185"/>
      <c r="S92" s="185"/>
      <c r="T92" s="185"/>
    </row>
    <row r="93" spans="1:20">
      <c r="A93" s="185"/>
      <c r="B93" s="661"/>
      <c r="C93" s="185"/>
      <c r="D93" s="185"/>
      <c r="E93" s="185"/>
      <c r="F93" s="185"/>
      <c r="G93" s="186"/>
      <c r="H93" s="185"/>
      <c r="I93" s="185"/>
      <c r="J93" s="752"/>
      <c r="K93" s="752"/>
      <c r="L93" s="185"/>
      <c r="M93" s="185"/>
      <c r="N93" s="185"/>
      <c r="O93" s="185"/>
      <c r="P93" s="185"/>
      <c r="Q93" s="185"/>
      <c r="R93" s="185"/>
      <c r="S93" s="185"/>
      <c r="T93" s="185"/>
    </row>
    <row r="94" spans="1:20">
      <c r="A94" s="185"/>
      <c r="B94" s="661"/>
      <c r="C94" s="185"/>
      <c r="D94" s="185"/>
      <c r="E94" s="185"/>
      <c r="F94" s="185"/>
      <c r="G94" s="186"/>
      <c r="H94" s="185"/>
      <c r="I94" s="185"/>
      <c r="J94" s="752"/>
      <c r="K94" s="752"/>
      <c r="L94" s="185"/>
      <c r="M94" s="185"/>
      <c r="N94" s="185"/>
      <c r="O94" s="185"/>
      <c r="P94" s="185"/>
      <c r="Q94" s="185"/>
      <c r="R94" s="185"/>
      <c r="S94" s="185"/>
      <c r="T94" s="185"/>
    </row>
    <row r="95" spans="1:20">
      <c r="A95" s="185"/>
      <c r="B95" s="661"/>
      <c r="C95" s="185"/>
      <c r="D95" s="185"/>
      <c r="E95" s="185"/>
      <c r="F95" s="185"/>
      <c r="G95" s="186"/>
      <c r="H95" s="185"/>
      <c r="I95" s="185"/>
      <c r="J95" s="752"/>
      <c r="K95" s="752"/>
      <c r="L95" s="185"/>
      <c r="M95" s="185"/>
      <c r="N95" s="185"/>
      <c r="O95" s="185"/>
      <c r="P95" s="185"/>
      <c r="Q95" s="185"/>
      <c r="R95" s="185"/>
      <c r="S95" s="185"/>
      <c r="T95" s="185"/>
    </row>
    <row r="96" spans="1:20">
      <c r="A96" s="185"/>
      <c r="B96" s="661"/>
      <c r="C96" s="185"/>
      <c r="D96" s="185"/>
      <c r="E96" s="185"/>
      <c r="F96" s="185"/>
      <c r="G96" s="186"/>
      <c r="H96" s="185"/>
      <c r="I96" s="185"/>
      <c r="J96" s="752"/>
      <c r="K96" s="752"/>
      <c r="L96" s="185"/>
      <c r="M96" s="185"/>
      <c r="N96" s="185"/>
      <c r="O96" s="185"/>
      <c r="P96" s="185"/>
      <c r="Q96" s="185"/>
      <c r="R96" s="185"/>
      <c r="S96" s="185"/>
      <c r="T96" s="185"/>
    </row>
    <row r="97" spans="1:20">
      <c r="A97" s="185"/>
      <c r="B97" s="661"/>
      <c r="C97" s="185"/>
      <c r="D97" s="185"/>
      <c r="E97" s="185"/>
      <c r="F97" s="185"/>
      <c r="G97" s="186"/>
      <c r="H97" s="185"/>
      <c r="I97" s="185"/>
      <c r="J97" s="752"/>
      <c r="K97" s="752"/>
      <c r="L97" s="185"/>
      <c r="M97" s="185"/>
      <c r="N97" s="185"/>
      <c r="O97" s="185"/>
      <c r="P97" s="185"/>
      <c r="Q97" s="185"/>
      <c r="R97" s="185"/>
      <c r="S97" s="185"/>
      <c r="T97" s="185"/>
    </row>
    <row r="98" spans="1:20">
      <c r="A98" s="185"/>
      <c r="B98" s="661"/>
      <c r="C98" s="185"/>
      <c r="D98" s="185"/>
      <c r="E98" s="185"/>
      <c r="F98" s="185"/>
      <c r="G98" s="186"/>
      <c r="H98" s="185"/>
      <c r="I98" s="185"/>
      <c r="J98" s="752"/>
      <c r="K98" s="752"/>
      <c r="L98" s="185"/>
      <c r="M98" s="185"/>
      <c r="N98" s="185"/>
      <c r="O98" s="185"/>
      <c r="P98" s="185"/>
      <c r="Q98" s="185"/>
      <c r="R98" s="185"/>
      <c r="S98" s="185"/>
      <c r="T98" s="185"/>
    </row>
    <row r="99" spans="1:20">
      <c r="A99" s="185"/>
      <c r="B99" s="661"/>
      <c r="C99" s="185"/>
      <c r="D99" s="185"/>
      <c r="E99" s="185"/>
      <c r="F99" s="185"/>
      <c r="G99" s="186"/>
      <c r="H99" s="185"/>
      <c r="I99" s="185"/>
      <c r="J99" s="752"/>
      <c r="K99" s="752"/>
      <c r="L99" s="185"/>
      <c r="M99" s="185"/>
      <c r="N99" s="185"/>
      <c r="O99" s="185"/>
      <c r="P99" s="185"/>
      <c r="Q99" s="185"/>
      <c r="R99" s="185"/>
      <c r="S99" s="185"/>
      <c r="T99" s="185"/>
    </row>
    <row r="100" spans="1:20">
      <c r="A100" s="185"/>
      <c r="B100" s="661"/>
      <c r="C100" s="185"/>
      <c r="D100" s="185"/>
      <c r="E100" s="185"/>
      <c r="F100" s="185"/>
      <c r="G100" s="186"/>
      <c r="H100" s="185"/>
      <c r="I100" s="185"/>
      <c r="J100" s="752"/>
      <c r="K100" s="752"/>
      <c r="L100" s="185"/>
      <c r="M100" s="185"/>
      <c r="N100" s="185"/>
      <c r="O100" s="185"/>
      <c r="P100" s="185"/>
      <c r="Q100" s="185"/>
      <c r="R100" s="185"/>
      <c r="S100" s="185"/>
      <c r="T100" s="185"/>
    </row>
    <row r="101" spans="1:20">
      <c r="A101" s="185"/>
      <c r="B101" s="661"/>
      <c r="C101" s="185"/>
      <c r="D101" s="185"/>
      <c r="E101" s="185"/>
      <c r="F101" s="185"/>
      <c r="G101" s="186"/>
      <c r="H101" s="185"/>
      <c r="I101" s="185"/>
      <c r="J101" s="752"/>
      <c r="K101" s="752"/>
      <c r="L101" s="185"/>
      <c r="M101" s="185"/>
      <c r="N101" s="185"/>
      <c r="O101" s="185"/>
      <c r="P101" s="185"/>
      <c r="Q101" s="185"/>
      <c r="R101" s="185"/>
      <c r="S101" s="185"/>
      <c r="T101" s="185"/>
    </row>
    <row r="102" spans="1:20">
      <c r="A102" s="185"/>
      <c r="B102" s="661"/>
      <c r="C102" s="185"/>
      <c r="D102" s="185"/>
      <c r="E102" s="185"/>
      <c r="F102" s="185"/>
      <c r="G102" s="186"/>
      <c r="H102" s="185"/>
      <c r="I102" s="185"/>
      <c r="J102" s="752"/>
      <c r="K102" s="752"/>
      <c r="L102" s="185"/>
      <c r="M102" s="185"/>
      <c r="N102" s="185"/>
      <c r="O102" s="185"/>
      <c r="P102" s="185"/>
      <c r="Q102" s="185"/>
      <c r="R102" s="185"/>
      <c r="S102" s="185"/>
      <c r="T102" s="185"/>
    </row>
    <row r="103" spans="1:20">
      <c r="A103" s="185"/>
      <c r="B103" s="661"/>
      <c r="C103" s="185"/>
      <c r="D103" s="185"/>
      <c r="E103" s="185"/>
      <c r="F103" s="185"/>
      <c r="G103" s="186"/>
      <c r="H103" s="185"/>
      <c r="I103" s="185"/>
      <c r="J103" s="752"/>
      <c r="K103" s="752"/>
      <c r="L103" s="185"/>
      <c r="M103" s="185"/>
      <c r="N103" s="185"/>
      <c r="O103" s="185"/>
      <c r="P103" s="185"/>
      <c r="Q103" s="185"/>
      <c r="R103" s="185"/>
      <c r="S103" s="185"/>
      <c r="T103" s="185"/>
    </row>
    <row r="104" spans="1:20">
      <c r="A104" s="185"/>
      <c r="B104" s="661"/>
      <c r="C104" s="185"/>
      <c r="D104" s="185"/>
      <c r="E104" s="185"/>
      <c r="F104" s="185"/>
      <c r="G104" s="186"/>
      <c r="H104" s="185"/>
      <c r="I104" s="185"/>
      <c r="J104" s="752"/>
      <c r="K104" s="752"/>
      <c r="L104" s="185"/>
      <c r="M104" s="185"/>
      <c r="N104" s="185"/>
      <c r="O104" s="185"/>
      <c r="P104" s="185"/>
      <c r="Q104" s="185"/>
      <c r="R104" s="185"/>
      <c r="S104" s="185"/>
      <c r="T104" s="185"/>
    </row>
    <row r="105" spans="1:20">
      <c r="A105" s="185"/>
      <c r="B105" s="661"/>
      <c r="C105" s="185"/>
      <c r="D105" s="185"/>
      <c r="E105" s="185"/>
      <c r="F105" s="185"/>
      <c r="G105" s="186"/>
      <c r="H105" s="185"/>
      <c r="I105" s="185"/>
      <c r="J105" s="752"/>
      <c r="K105" s="752"/>
      <c r="L105" s="185"/>
      <c r="M105" s="185"/>
      <c r="N105" s="185"/>
      <c r="O105" s="185"/>
      <c r="P105" s="185"/>
      <c r="Q105" s="185"/>
      <c r="R105" s="185"/>
      <c r="S105" s="185"/>
      <c r="T105" s="185"/>
    </row>
    <row r="106" spans="1:20">
      <c r="A106" s="185"/>
      <c r="B106" s="661"/>
      <c r="C106" s="185"/>
      <c r="D106" s="185"/>
      <c r="E106" s="185"/>
      <c r="F106" s="185"/>
      <c r="G106" s="186"/>
      <c r="H106" s="185"/>
      <c r="I106" s="185"/>
      <c r="J106" s="752"/>
      <c r="K106" s="752"/>
      <c r="L106" s="185"/>
      <c r="M106" s="185"/>
      <c r="N106" s="185"/>
      <c r="O106" s="185"/>
      <c r="P106" s="185"/>
      <c r="Q106" s="185"/>
      <c r="R106" s="185"/>
      <c r="S106" s="185"/>
      <c r="T106" s="185"/>
    </row>
    <row r="107" spans="1:20">
      <c r="A107" s="185"/>
      <c r="B107" s="661"/>
      <c r="C107" s="185"/>
      <c r="D107" s="185"/>
      <c r="E107" s="185"/>
      <c r="F107" s="185"/>
      <c r="G107" s="186"/>
      <c r="H107" s="185"/>
      <c r="I107" s="185"/>
      <c r="J107" s="752"/>
      <c r="K107" s="752"/>
      <c r="L107" s="185"/>
      <c r="M107" s="185"/>
      <c r="N107" s="185"/>
      <c r="O107" s="185"/>
      <c r="P107" s="185"/>
      <c r="Q107" s="185"/>
      <c r="R107" s="185"/>
      <c r="S107" s="185"/>
      <c r="T107" s="185"/>
    </row>
    <row r="108" spans="1:20">
      <c r="A108" s="185"/>
      <c r="B108" s="661"/>
      <c r="C108" s="185"/>
      <c r="D108" s="185"/>
      <c r="E108" s="185"/>
      <c r="F108" s="185"/>
      <c r="G108" s="186"/>
      <c r="H108" s="185"/>
      <c r="I108" s="185"/>
      <c r="J108" s="752"/>
      <c r="K108" s="752"/>
      <c r="L108" s="185"/>
      <c r="M108" s="185"/>
      <c r="N108" s="185"/>
      <c r="O108" s="185"/>
      <c r="P108" s="185"/>
      <c r="Q108" s="185"/>
      <c r="R108" s="185"/>
      <c r="S108" s="185"/>
      <c r="T108" s="185"/>
    </row>
    <row r="109" spans="1:20">
      <c r="A109" s="185"/>
      <c r="B109" s="661"/>
      <c r="C109" s="185"/>
      <c r="D109" s="185"/>
      <c r="E109" s="185"/>
      <c r="F109" s="185"/>
      <c r="G109" s="186"/>
      <c r="H109" s="185"/>
      <c r="I109" s="185"/>
      <c r="J109" s="752"/>
      <c r="K109" s="752"/>
      <c r="L109" s="185"/>
      <c r="M109" s="185"/>
      <c r="N109" s="185"/>
      <c r="O109" s="185"/>
      <c r="P109" s="185"/>
      <c r="Q109" s="185"/>
      <c r="R109" s="185"/>
      <c r="S109" s="185"/>
      <c r="T109" s="185"/>
    </row>
    <row r="110" spans="1:20">
      <c r="A110" s="185"/>
      <c r="B110" s="661"/>
      <c r="C110" s="185"/>
      <c r="D110" s="185"/>
      <c r="E110" s="185"/>
      <c r="F110" s="185"/>
      <c r="G110" s="186"/>
      <c r="H110" s="185"/>
      <c r="I110" s="185"/>
      <c r="J110" s="752"/>
      <c r="K110" s="752"/>
      <c r="L110" s="185"/>
      <c r="M110" s="185"/>
      <c r="N110" s="185"/>
      <c r="O110" s="185"/>
      <c r="P110" s="185"/>
      <c r="Q110" s="185"/>
      <c r="R110" s="185"/>
      <c r="S110" s="185"/>
      <c r="T110" s="185"/>
    </row>
    <row r="111" spans="1:20">
      <c r="A111" s="185"/>
      <c r="B111" s="661"/>
      <c r="C111" s="185"/>
      <c r="D111" s="185"/>
      <c r="E111" s="185"/>
      <c r="F111" s="185"/>
      <c r="G111" s="186"/>
      <c r="H111" s="185"/>
      <c r="I111" s="185"/>
      <c r="J111" s="752"/>
      <c r="K111" s="752"/>
      <c r="L111" s="185"/>
      <c r="M111" s="185"/>
      <c r="N111" s="185"/>
      <c r="O111" s="185"/>
      <c r="P111" s="185"/>
      <c r="Q111" s="185"/>
      <c r="R111" s="185"/>
      <c r="S111" s="185"/>
      <c r="T111" s="185"/>
    </row>
    <row r="112" spans="1:20">
      <c r="A112" s="185"/>
      <c r="B112" s="661"/>
      <c r="C112" s="185"/>
      <c r="D112" s="185"/>
      <c r="E112" s="185"/>
      <c r="F112" s="185"/>
      <c r="G112" s="186"/>
      <c r="H112" s="185"/>
      <c r="I112" s="185"/>
      <c r="J112" s="752"/>
      <c r="K112" s="752"/>
      <c r="L112" s="185"/>
      <c r="M112" s="185"/>
      <c r="N112" s="185"/>
      <c r="O112" s="185"/>
      <c r="P112" s="185"/>
      <c r="Q112" s="185"/>
      <c r="R112" s="185"/>
      <c r="S112" s="185"/>
      <c r="T112" s="185"/>
    </row>
    <row r="113" spans="1:20">
      <c r="A113" s="185"/>
      <c r="B113" s="661"/>
      <c r="C113" s="185"/>
      <c r="D113" s="185"/>
      <c r="E113" s="185"/>
      <c r="F113" s="185"/>
      <c r="G113" s="186"/>
      <c r="H113" s="185"/>
      <c r="I113" s="185"/>
      <c r="J113" s="752"/>
      <c r="K113" s="752"/>
      <c r="L113" s="185"/>
      <c r="M113" s="185"/>
      <c r="N113" s="185"/>
      <c r="O113" s="185"/>
      <c r="P113" s="185"/>
      <c r="Q113" s="185"/>
      <c r="R113" s="185"/>
      <c r="S113" s="185"/>
      <c r="T113" s="185"/>
    </row>
    <row r="114" spans="1:20">
      <c r="A114" s="185"/>
      <c r="B114" s="661"/>
      <c r="C114" s="185"/>
      <c r="D114" s="185"/>
      <c r="E114" s="185"/>
      <c r="F114" s="185"/>
      <c r="G114" s="186"/>
      <c r="H114" s="185"/>
      <c r="I114" s="185"/>
      <c r="J114" s="752"/>
      <c r="K114" s="752"/>
      <c r="L114" s="185"/>
      <c r="M114" s="185"/>
      <c r="N114" s="185"/>
      <c r="O114" s="185"/>
      <c r="P114" s="185"/>
      <c r="Q114" s="185"/>
      <c r="R114" s="185"/>
      <c r="S114" s="185"/>
      <c r="T114" s="185"/>
    </row>
    <row r="115" spans="1:20">
      <c r="A115" s="185"/>
      <c r="B115" s="661"/>
      <c r="C115" s="185"/>
      <c r="D115" s="185"/>
      <c r="E115" s="185"/>
      <c r="F115" s="185"/>
      <c r="G115" s="186"/>
      <c r="H115" s="185"/>
      <c r="I115" s="185"/>
      <c r="J115" s="752"/>
      <c r="K115" s="752"/>
      <c r="L115" s="185"/>
      <c r="M115" s="185"/>
      <c r="N115" s="185"/>
      <c r="O115" s="185"/>
      <c r="P115" s="185"/>
      <c r="Q115" s="185"/>
      <c r="R115" s="185"/>
      <c r="S115" s="185"/>
      <c r="T115" s="185"/>
    </row>
    <row r="116" spans="1:20">
      <c r="A116" s="185"/>
      <c r="B116" s="661"/>
      <c r="C116" s="185"/>
      <c r="D116" s="185"/>
      <c r="E116" s="185"/>
      <c r="F116" s="185"/>
      <c r="G116" s="186"/>
      <c r="H116" s="185"/>
      <c r="I116" s="185"/>
      <c r="J116" s="752"/>
      <c r="K116" s="752"/>
      <c r="L116" s="185"/>
      <c r="M116" s="185"/>
      <c r="N116" s="185"/>
      <c r="O116" s="185"/>
      <c r="P116" s="185"/>
      <c r="Q116" s="185"/>
      <c r="R116" s="185"/>
      <c r="S116" s="185"/>
      <c r="T116" s="185"/>
    </row>
    <row r="117" spans="1:20">
      <c r="A117" s="185"/>
      <c r="B117" s="661"/>
      <c r="C117" s="185"/>
      <c r="D117" s="185"/>
      <c r="E117" s="185"/>
      <c r="F117" s="185"/>
      <c r="G117" s="186"/>
      <c r="H117" s="185"/>
      <c r="I117" s="185"/>
      <c r="J117" s="752"/>
      <c r="K117" s="752"/>
      <c r="L117" s="185"/>
      <c r="M117" s="185"/>
      <c r="N117" s="185"/>
      <c r="O117" s="185"/>
      <c r="P117" s="185"/>
      <c r="Q117" s="185"/>
      <c r="R117" s="185"/>
      <c r="S117" s="185"/>
      <c r="T117" s="185"/>
    </row>
    <row r="118" spans="1:20">
      <c r="A118" s="185"/>
      <c r="B118" s="661"/>
      <c r="C118" s="185"/>
      <c r="D118" s="185"/>
      <c r="E118" s="185"/>
      <c r="F118" s="185"/>
      <c r="G118" s="186"/>
      <c r="H118" s="185"/>
      <c r="I118" s="185"/>
      <c r="J118" s="752"/>
      <c r="K118" s="752"/>
      <c r="L118" s="185"/>
      <c r="M118" s="185"/>
      <c r="N118" s="185"/>
      <c r="O118" s="185"/>
      <c r="P118" s="185"/>
      <c r="Q118" s="185"/>
      <c r="R118" s="185"/>
      <c r="S118" s="185"/>
      <c r="T118" s="185"/>
    </row>
    <row r="119" spans="1:20">
      <c r="A119" s="185"/>
      <c r="B119" s="661"/>
      <c r="C119" s="185"/>
      <c r="D119" s="185"/>
      <c r="E119" s="185"/>
      <c r="F119" s="185"/>
      <c r="G119" s="186"/>
      <c r="H119" s="185"/>
      <c r="I119" s="185"/>
      <c r="J119" s="752"/>
      <c r="K119" s="752"/>
      <c r="L119" s="185"/>
      <c r="M119" s="185"/>
      <c r="N119" s="185"/>
      <c r="O119" s="185"/>
      <c r="P119" s="185"/>
      <c r="Q119" s="185"/>
      <c r="R119" s="185"/>
      <c r="S119" s="185"/>
      <c r="T119" s="185"/>
    </row>
    <row r="120" spans="1:20">
      <c r="A120" s="185"/>
      <c r="B120" s="661"/>
      <c r="C120" s="185"/>
      <c r="D120" s="185"/>
      <c r="E120" s="185"/>
      <c r="F120" s="185"/>
      <c r="G120" s="186"/>
      <c r="H120" s="185"/>
      <c r="I120" s="185"/>
      <c r="J120" s="752"/>
      <c r="K120" s="752"/>
      <c r="L120" s="185"/>
      <c r="M120" s="185"/>
      <c r="N120" s="185"/>
      <c r="O120" s="185"/>
      <c r="P120" s="185"/>
      <c r="Q120" s="185"/>
      <c r="R120" s="185"/>
      <c r="S120" s="185"/>
      <c r="T120" s="185"/>
    </row>
    <row r="121" spans="1:20">
      <c r="A121" s="185"/>
      <c r="B121" s="661"/>
      <c r="C121" s="185"/>
      <c r="D121" s="185"/>
      <c r="E121" s="185"/>
      <c r="F121" s="185"/>
      <c r="G121" s="186"/>
      <c r="H121" s="185"/>
      <c r="I121" s="185"/>
      <c r="J121" s="752"/>
      <c r="K121" s="752"/>
      <c r="L121" s="185"/>
      <c r="M121" s="185"/>
      <c r="N121" s="185"/>
      <c r="O121" s="185"/>
      <c r="P121" s="185"/>
      <c r="Q121" s="185"/>
      <c r="R121" s="185"/>
      <c r="S121" s="185"/>
      <c r="T121" s="185"/>
    </row>
    <row r="122" spans="1:20">
      <c r="A122" s="185"/>
      <c r="B122" s="661"/>
      <c r="C122" s="185"/>
      <c r="D122" s="185"/>
      <c r="E122" s="185"/>
      <c r="F122" s="185"/>
      <c r="G122" s="186"/>
      <c r="H122" s="185"/>
      <c r="I122" s="185"/>
      <c r="J122" s="752"/>
      <c r="K122" s="752"/>
      <c r="L122" s="185"/>
      <c r="M122" s="185"/>
      <c r="N122" s="185"/>
      <c r="O122" s="185"/>
      <c r="P122" s="185"/>
      <c r="Q122" s="185"/>
      <c r="R122" s="185"/>
      <c r="S122" s="185"/>
      <c r="T122" s="185"/>
    </row>
    <row r="123" spans="1:20">
      <c r="A123" s="185"/>
      <c r="B123" s="661"/>
      <c r="C123" s="185"/>
      <c r="D123" s="185"/>
      <c r="E123" s="185"/>
      <c r="F123" s="185"/>
      <c r="G123" s="186"/>
      <c r="H123" s="185"/>
      <c r="I123" s="185"/>
      <c r="J123" s="752"/>
      <c r="K123" s="752"/>
      <c r="L123" s="185"/>
      <c r="M123" s="185"/>
      <c r="N123" s="185"/>
      <c r="O123" s="185"/>
      <c r="P123" s="185"/>
      <c r="Q123" s="185"/>
      <c r="R123" s="185"/>
      <c r="S123" s="185"/>
      <c r="T123" s="185"/>
    </row>
    <row r="124" spans="1:20">
      <c r="A124" s="185"/>
      <c r="B124" s="661"/>
      <c r="C124" s="185"/>
      <c r="D124" s="185"/>
      <c r="E124" s="185"/>
      <c r="F124" s="185"/>
      <c r="G124" s="186"/>
      <c r="H124" s="185"/>
      <c r="I124" s="185"/>
      <c r="J124" s="752"/>
      <c r="K124" s="752"/>
      <c r="L124" s="185"/>
      <c r="M124" s="185"/>
      <c r="N124" s="185"/>
      <c r="O124" s="185"/>
      <c r="P124" s="185"/>
      <c r="Q124" s="185"/>
      <c r="R124" s="185"/>
      <c r="S124" s="185"/>
      <c r="T124" s="185"/>
    </row>
    <row r="125" spans="1:20">
      <c r="A125" s="185"/>
      <c r="B125" s="661"/>
      <c r="C125" s="185"/>
      <c r="D125" s="185"/>
      <c r="E125" s="185"/>
      <c r="F125" s="185"/>
      <c r="G125" s="186"/>
      <c r="H125" s="185"/>
      <c r="I125" s="185"/>
      <c r="J125" s="752"/>
      <c r="K125" s="752"/>
      <c r="L125" s="185"/>
      <c r="M125" s="185"/>
      <c r="N125" s="185"/>
      <c r="O125" s="185"/>
      <c r="P125" s="185"/>
      <c r="Q125" s="185"/>
      <c r="R125" s="185"/>
      <c r="S125" s="185"/>
      <c r="T125" s="185"/>
    </row>
    <row r="126" spans="1:20">
      <c r="A126" s="185"/>
      <c r="B126" s="661"/>
      <c r="C126" s="185"/>
      <c r="D126" s="185"/>
      <c r="E126" s="185"/>
      <c r="F126" s="185"/>
      <c r="G126" s="186"/>
      <c r="H126" s="185"/>
      <c r="I126" s="185"/>
      <c r="J126" s="752"/>
      <c r="K126" s="752"/>
      <c r="L126" s="185"/>
      <c r="M126" s="185"/>
      <c r="N126" s="185"/>
      <c r="O126" s="185"/>
      <c r="P126" s="185"/>
      <c r="Q126" s="185"/>
      <c r="R126" s="185"/>
      <c r="S126" s="185"/>
      <c r="T126" s="185"/>
    </row>
    <row r="127" spans="1:20">
      <c r="A127" s="185"/>
      <c r="B127" s="661"/>
      <c r="C127" s="185"/>
      <c r="D127" s="185"/>
      <c r="E127" s="185"/>
      <c r="F127" s="185"/>
      <c r="G127" s="186"/>
      <c r="H127" s="185"/>
      <c r="I127" s="185"/>
      <c r="J127" s="752"/>
      <c r="K127" s="752"/>
      <c r="L127" s="185"/>
      <c r="M127" s="185"/>
      <c r="N127" s="185"/>
      <c r="O127" s="185"/>
      <c r="P127" s="185"/>
      <c r="Q127" s="185"/>
      <c r="R127" s="185"/>
      <c r="S127" s="185"/>
      <c r="T127" s="185"/>
    </row>
    <row r="128" spans="1:20">
      <c r="A128" s="185"/>
      <c r="B128" s="661"/>
      <c r="C128" s="185"/>
      <c r="D128" s="185"/>
      <c r="E128" s="185"/>
      <c r="F128" s="185"/>
      <c r="G128" s="186"/>
      <c r="H128" s="185"/>
      <c r="I128" s="185"/>
      <c r="J128" s="752"/>
      <c r="K128" s="752"/>
      <c r="L128" s="185"/>
      <c r="M128" s="185"/>
      <c r="N128" s="185"/>
      <c r="O128" s="185"/>
      <c r="P128" s="185"/>
      <c r="Q128" s="185"/>
      <c r="R128" s="185"/>
      <c r="S128" s="185"/>
      <c r="T128" s="185"/>
    </row>
    <row r="129" spans="1:20">
      <c r="A129" s="185"/>
      <c r="B129" s="661"/>
      <c r="C129" s="185"/>
      <c r="D129" s="185"/>
      <c r="E129" s="185"/>
      <c r="F129" s="185"/>
      <c r="G129" s="186"/>
      <c r="H129" s="185"/>
      <c r="I129" s="185"/>
      <c r="J129" s="752"/>
      <c r="K129" s="752"/>
      <c r="L129" s="185"/>
      <c r="M129" s="185"/>
      <c r="N129" s="185"/>
      <c r="O129" s="185"/>
      <c r="P129" s="185"/>
      <c r="Q129" s="185"/>
      <c r="R129" s="185"/>
      <c r="S129" s="185"/>
      <c r="T129" s="185"/>
    </row>
    <row r="130" spans="1:20">
      <c r="A130" s="185"/>
      <c r="B130" s="661"/>
      <c r="C130" s="185"/>
      <c r="D130" s="185"/>
      <c r="E130" s="185"/>
      <c r="F130" s="185"/>
      <c r="G130" s="186"/>
      <c r="H130" s="185"/>
      <c r="I130" s="185"/>
      <c r="J130" s="752"/>
      <c r="K130" s="752"/>
      <c r="L130" s="185"/>
      <c r="M130" s="185"/>
      <c r="N130" s="185"/>
      <c r="O130" s="185"/>
      <c r="P130" s="185"/>
      <c r="Q130" s="185"/>
      <c r="R130" s="185"/>
      <c r="S130" s="185"/>
      <c r="T130" s="185"/>
    </row>
    <row r="131" spans="1:20">
      <c r="A131" s="185"/>
      <c r="B131" s="661"/>
      <c r="C131" s="185"/>
      <c r="D131" s="185"/>
      <c r="E131" s="185"/>
      <c r="F131" s="185"/>
      <c r="G131" s="186"/>
      <c r="H131" s="185"/>
      <c r="I131" s="185"/>
      <c r="J131" s="752"/>
      <c r="K131" s="752"/>
      <c r="L131" s="185"/>
      <c r="M131" s="185"/>
      <c r="N131" s="185"/>
      <c r="O131" s="185"/>
      <c r="P131" s="185"/>
      <c r="Q131" s="185"/>
      <c r="R131" s="185"/>
      <c r="S131" s="185"/>
      <c r="T131" s="185"/>
    </row>
    <row r="132" spans="1:20">
      <c r="A132" s="185"/>
      <c r="B132" s="661"/>
      <c r="C132" s="185"/>
      <c r="D132" s="185"/>
      <c r="E132" s="185"/>
      <c r="F132" s="185"/>
      <c r="G132" s="186"/>
      <c r="H132" s="185"/>
      <c r="I132" s="185"/>
      <c r="J132" s="752"/>
      <c r="K132" s="752"/>
      <c r="L132" s="185"/>
      <c r="M132" s="185"/>
      <c r="N132" s="185"/>
      <c r="O132" s="185"/>
      <c r="P132" s="185"/>
      <c r="Q132" s="185"/>
      <c r="R132" s="185"/>
      <c r="S132" s="185"/>
      <c r="T132" s="185"/>
    </row>
    <row r="133" spans="1:20">
      <c r="A133" s="185"/>
      <c r="B133" s="661"/>
      <c r="C133" s="185"/>
      <c r="D133" s="185"/>
      <c r="E133" s="185"/>
      <c r="F133" s="185"/>
      <c r="G133" s="186"/>
      <c r="H133" s="185"/>
      <c r="I133" s="185"/>
      <c r="J133" s="752"/>
      <c r="K133" s="752"/>
      <c r="L133" s="185"/>
      <c r="M133" s="185"/>
      <c r="N133" s="185"/>
      <c r="O133" s="185"/>
      <c r="P133" s="185"/>
      <c r="Q133" s="185"/>
      <c r="R133" s="185"/>
      <c r="S133" s="185"/>
      <c r="T133" s="185"/>
    </row>
    <row r="134" spans="1:20">
      <c r="A134" s="185"/>
      <c r="B134" s="661"/>
      <c r="C134" s="185"/>
      <c r="D134" s="185"/>
      <c r="E134" s="185"/>
      <c r="F134" s="185"/>
      <c r="G134" s="186"/>
      <c r="H134" s="185"/>
      <c r="I134" s="185"/>
      <c r="J134" s="752"/>
      <c r="K134" s="752"/>
      <c r="L134" s="185"/>
      <c r="M134" s="185"/>
      <c r="N134" s="185"/>
      <c r="O134" s="185"/>
      <c r="P134" s="185"/>
      <c r="Q134" s="185"/>
      <c r="R134" s="185"/>
      <c r="S134" s="185"/>
      <c r="T134" s="185"/>
    </row>
    <row r="135" spans="1:20">
      <c r="A135" s="185"/>
      <c r="B135" s="661"/>
      <c r="C135" s="185"/>
      <c r="D135" s="185"/>
      <c r="E135" s="185"/>
      <c r="F135" s="185"/>
      <c r="G135" s="186"/>
      <c r="H135" s="185"/>
      <c r="I135" s="185"/>
      <c r="J135" s="752"/>
      <c r="K135" s="752"/>
      <c r="L135" s="185"/>
      <c r="M135" s="185"/>
      <c r="N135" s="185"/>
      <c r="O135" s="185"/>
      <c r="P135" s="185"/>
      <c r="Q135" s="185"/>
      <c r="R135" s="185"/>
      <c r="S135" s="185"/>
      <c r="T135" s="185"/>
    </row>
    <row r="136" spans="1:20">
      <c r="A136" s="185"/>
      <c r="B136" s="661"/>
      <c r="C136" s="185"/>
      <c r="D136" s="185"/>
      <c r="E136" s="185"/>
      <c r="F136" s="185"/>
      <c r="G136" s="186"/>
      <c r="H136" s="185"/>
      <c r="I136" s="185"/>
      <c r="J136" s="752"/>
      <c r="K136" s="752"/>
      <c r="L136" s="185"/>
      <c r="M136" s="185"/>
      <c r="N136" s="185"/>
      <c r="O136" s="185"/>
      <c r="P136" s="185"/>
      <c r="Q136" s="185"/>
      <c r="R136" s="185"/>
      <c r="S136" s="185"/>
      <c r="T136" s="185"/>
    </row>
    <row r="137" spans="1:20">
      <c r="A137" s="185"/>
      <c r="B137" s="661"/>
      <c r="C137" s="185"/>
      <c r="D137" s="185"/>
      <c r="E137" s="185"/>
      <c r="F137" s="185"/>
      <c r="G137" s="186"/>
      <c r="H137" s="185"/>
      <c r="I137" s="185"/>
      <c r="J137" s="752"/>
      <c r="K137" s="752"/>
      <c r="L137" s="185"/>
      <c r="M137" s="185"/>
      <c r="N137" s="185"/>
      <c r="O137" s="185"/>
      <c r="P137" s="185"/>
      <c r="Q137" s="185"/>
      <c r="R137" s="185"/>
      <c r="S137" s="185"/>
      <c r="T137" s="185"/>
    </row>
    <row r="138" spans="1:20">
      <c r="A138" s="185"/>
      <c r="B138" s="661"/>
      <c r="C138" s="185"/>
      <c r="D138" s="185"/>
      <c r="E138" s="185"/>
      <c r="F138" s="185"/>
      <c r="G138" s="186"/>
      <c r="H138" s="185"/>
      <c r="I138" s="185"/>
      <c r="J138" s="752"/>
      <c r="K138" s="752"/>
      <c r="L138" s="185"/>
      <c r="M138" s="185"/>
      <c r="N138" s="185"/>
      <c r="O138" s="185"/>
      <c r="P138" s="185"/>
      <c r="Q138" s="185"/>
      <c r="R138" s="185"/>
      <c r="S138" s="185"/>
      <c r="T138" s="185"/>
    </row>
    <row r="139" spans="1:20">
      <c r="A139" s="185"/>
      <c r="B139" s="661"/>
      <c r="C139" s="185"/>
      <c r="D139" s="185"/>
      <c r="E139" s="185"/>
      <c r="F139" s="185"/>
      <c r="G139" s="186"/>
      <c r="H139" s="185"/>
      <c r="I139" s="185"/>
      <c r="J139" s="752"/>
      <c r="K139" s="752"/>
      <c r="L139" s="185"/>
      <c r="M139" s="185"/>
      <c r="N139" s="185"/>
      <c r="O139" s="185"/>
      <c r="P139" s="185"/>
      <c r="Q139" s="185"/>
      <c r="R139" s="185"/>
      <c r="S139" s="185"/>
      <c r="T139" s="185"/>
    </row>
    <row r="140" spans="1:20">
      <c r="A140" s="185"/>
      <c r="B140" s="661"/>
      <c r="C140" s="185"/>
      <c r="D140" s="185"/>
      <c r="E140" s="185"/>
      <c r="F140" s="185"/>
      <c r="G140" s="186"/>
      <c r="H140" s="185"/>
      <c r="I140" s="185"/>
      <c r="J140" s="752"/>
      <c r="K140" s="752"/>
      <c r="L140" s="185"/>
      <c r="M140" s="185"/>
      <c r="N140" s="185"/>
      <c r="O140" s="185"/>
      <c r="P140" s="185"/>
      <c r="Q140" s="185"/>
      <c r="R140" s="185"/>
      <c r="S140" s="185"/>
      <c r="T140" s="185"/>
    </row>
    <row r="141" spans="1:20">
      <c r="A141" s="185"/>
      <c r="B141" s="661"/>
      <c r="C141" s="185"/>
      <c r="D141" s="185"/>
      <c r="E141" s="185"/>
      <c r="F141" s="185"/>
      <c r="G141" s="186"/>
      <c r="H141" s="185"/>
      <c r="I141" s="185"/>
      <c r="J141" s="752"/>
      <c r="K141" s="752"/>
      <c r="L141" s="185"/>
      <c r="M141" s="185"/>
      <c r="N141" s="185"/>
      <c r="O141" s="185"/>
      <c r="P141" s="185"/>
      <c r="Q141" s="185"/>
      <c r="R141" s="185"/>
      <c r="S141" s="185"/>
      <c r="T141" s="185"/>
    </row>
    <row r="142" spans="1:20">
      <c r="A142" s="185"/>
      <c r="B142" s="661"/>
      <c r="C142" s="185"/>
      <c r="D142" s="185"/>
      <c r="E142" s="185"/>
      <c r="F142" s="185"/>
      <c r="G142" s="186"/>
      <c r="H142" s="185"/>
      <c r="I142" s="185"/>
      <c r="J142" s="752"/>
      <c r="K142" s="752"/>
      <c r="L142" s="185"/>
      <c r="M142" s="185"/>
      <c r="N142" s="185"/>
      <c r="O142" s="185"/>
      <c r="P142" s="185"/>
      <c r="Q142" s="185"/>
      <c r="R142" s="185"/>
      <c r="S142" s="185"/>
      <c r="T142" s="185"/>
    </row>
    <row r="143" spans="1:20">
      <c r="A143" s="185"/>
      <c r="B143" s="661"/>
      <c r="C143" s="185"/>
      <c r="D143" s="185"/>
      <c r="E143" s="185"/>
      <c r="F143" s="185"/>
      <c r="G143" s="186"/>
      <c r="H143" s="185"/>
      <c r="I143" s="185"/>
      <c r="J143" s="752"/>
      <c r="K143" s="752"/>
      <c r="L143" s="185"/>
      <c r="M143" s="185"/>
      <c r="N143" s="185"/>
      <c r="O143" s="185"/>
      <c r="P143" s="185"/>
      <c r="Q143" s="185"/>
      <c r="R143" s="185"/>
      <c r="S143" s="185"/>
      <c r="T143" s="185"/>
    </row>
    <row r="144" spans="1:20">
      <c r="A144" s="185"/>
      <c r="B144" s="661"/>
      <c r="C144" s="185"/>
      <c r="D144" s="185"/>
      <c r="E144" s="185"/>
      <c r="F144" s="185"/>
      <c r="G144" s="186"/>
      <c r="H144" s="185"/>
      <c r="I144" s="185"/>
      <c r="J144" s="752"/>
      <c r="K144" s="752"/>
      <c r="L144" s="185"/>
      <c r="M144" s="185"/>
      <c r="N144" s="185"/>
      <c r="O144" s="185"/>
      <c r="P144" s="185"/>
      <c r="Q144" s="185"/>
      <c r="R144" s="185"/>
      <c r="S144" s="185"/>
      <c r="T144" s="185"/>
    </row>
    <row r="145" spans="1:20">
      <c r="A145" s="185"/>
      <c r="B145" s="661"/>
      <c r="C145" s="185"/>
      <c r="D145" s="185"/>
      <c r="E145" s="185"/>
      <c r="F145" s="185"/>
      <c r="G145" s="186"/>
      <c r="H145" s="185"/>
      <c r="I145" s="185"/>
      <c r="J145" s="752"/>
      <c r="K145" s="752"/>
      <c r="L145" s="185"/>
      <c r="M145" s="185"/>
      <c r="N145" s="185"/>
      <c r="O145" s="185"/>
      <c r="P145" s="185"/>
      <c r="Q145" s="185"/>
      <c r="R145" s="185"/>
      <c r="S145" s="185"/>
      <c r="T145" s="185"/>
    </row>
    <row r="146" spans="1:20">
      <c r="A146" s="185"/>
      <c r="B146" s="661"/>
      <c r="C146" s="185"/>
      <c r="D146" s="185"/>
      <c r="E146" s="185"/>
      <c r="F146" s="185"/>
      <c r="G146" s="186"/>
      <c r="H146" s="185"/>
      <c r="I146" s="185"/>
      <c r="J146" s="752"/>
      <c r="K146" s="752"/>
      <c r="L146" s="185"/>
      <c r="M146" s="185"/>
      <c r="N146" s="185"/>
      <c r="O146" s="185"/>
      <c r="P146" s="185"/>
      <c r="Q146" s="185"/>
      <c r="R146" s="185"/>
      <c r="S146" s="185"/>
      <c r="T146" s="185"/>
    </row>
    <row r="147" spans="1:20">
      <c r="A147" s="185"/>
      <c r="B147" s="661"/>
      <c r="C147" s="185"/>
      <c r="D147" s="185"/>
      <c r="E147" s="185"/>
      <c r="F147" s="185"/>
      <c r="G147" s="186"/>
      <c r="H147" s="185"/>
      <c r="I147" s="185"/>
      <c r="J147" s="752"/>
      <c r="K147" s="752"/>
      <c r="L147" s="185"/>
      <c r="M147" s="185"/>
      <c r="N147" s="185"/>
      <c r="O147" s="185"/>
      <c r="P147" s="185"/>
      <c r="Q147" s="185"/>
      <c r="R147" s="185"/>
      <c r="S147" s="185"/>
      <c r="T147" s="185"/>
    </row>
    <row r="148" spans="1:20">
      <c r="A148" s="185"/>
      <c r="B148" s="661"/>
      <c r="C148" s="185"/>
      <c r="D148" s="185"/>
      <c r="E148" s="185"/>
      <c r="F148" s="185"/>
      <c r="G148" s="186"/>
      <c r="H148" s="185"/>
      <c r="I148" s="185"/>
      <c r="J148" s="752"/>
      <c r="K148" s="752"/>
      <c r="L148" s="185"/>
      <c r="M148" s="185"/>
      <c r="N148" s="185"/>
      <c r="O148" s="185"/>
      <c r="P148" s="185"/>
      <c r="Q148" s="185"/>
      <c r="R148" s="185"/>
      <c r="S148" s="185"/>
      <c r="T148" s="185"/>
    </row>
    <row r="149" spans="1:20">
      <c r="A149" s="185"/>
      <c r="B149" s="661"/>
      <c r="C149" s="185"/>
      <c r="D149" s="185"/>
      <c r="E149" s="185"/>
      <c r="F149" s="185"/>
      <c r="G149" s="186"/>
      <c r="H149" s="185"/>
      <c r="I149" s="185"/>
      <c r="J149" s="752"/>
      <c r="K149" s="752"/>
      <c r="L149" s="185"/>
      <c r="M149" s="185"/>
      <c r="N149" s="185"/>
      <c r="O149" s="185"/>
      <c r="P149" s="185"/>
      <c r="Q149" s="185"/>
      <c r="R149" s="185"/>
      <c r="S149" s="185"/>
      <c r="T149" s="185"/>
    </row>
    <row r="150" spans="1:20">
      <c r="A150" s="185"/>
      <c r="B150" s="661"/>
      <c r="C150" s="185"/>
      <c r="D150" s="185"/>
      <c r="E150" s="185"/>
      <c r="F150" s="185"/>
      <c r="G150" s="186"/>
      <c r="H150" s="185"/>
      <c r="I150" s="185"/>
      <c r="J150" s="752"/>
      <c r="K150" s="752"/>
      <c r="L150" s="185"/>
      <c r="M150" s="185"/>
      <c r="N150" s="185"/>
      <c r="O150" s="185"/>
      <c r="P150" s="185"/>
      <c r="Q150" s="185"/>
      <c r="R150" s="185"/>
      <c r="S150" s="185"/>
      <c r="T150" s="185"/>
    </row>
    <row r="151" spans="1:20">
      <c r="A151" s="185"/>
      <c r="B151" s="661"/>
      <c r="C151" s="185"/>
      <c r="D151" s="185"/>
      <c r="E151" s="185"/>
      <c r="F151" s="185"/>
      <c r="G151" s="186"/>
      <c r="H151" s="185"/>
      <c r="I151" s="185"/>
      <c r="J151" s="752"/>
      <c r="K151" s="752"/>
      <c r="L151" s="185"/>
      <c r="M151" s="185"/>
      <c r="N151" s="185"/>
      <c r="O151" s="185"/>
      <c r="P151" s="185"/>
      <c r="Q151" s="185"/>
      <c r="R151" s="185"/>
      <c r="S151" s="185"/>
      <c r="T151" s="185"/>
    </row>
    <row r="152" spans="1:20">
      <c r="A152" s="185"/>
      <c r="B152" s="661"/>
      <c r="C152" s="185"/>
      <c r="D152" s="185"/>
      <c r="E152" s="185"/>
      <c r="F152" s="185"/>
      <c r="G152" s="186"/>
      <c r="H152" s="185"/>
      <c r="I152" s="185"/>
      <c r="J152" s="752"/>
      <c r="K152" s="752"/>
      <c r="L152" s="185"/>
      <c r="M152" s="185"/>
      <c r="N152" s="185"/>
      <c r="O152" s="185"/>
      <c r="P152" s="185"/>
      <c r="Q152" s="185"/>
      <c r="R152" s="185"/>
      <c r="S152" s="185"/>
      <c r="T152" s="185"/>
    </row>
    <row r="153" spans="1:20">
      <c r="A153" s="185"/>
      <c r="B153" s="661"/>
      <c r="C153" s="185"/>
      <c r="D153" s="185"/>
      <c r="E153" s="185"/>
      <c r="F153" s="185"/>
      <c r="G153" s="186"/>
      <c r="H153" s="185"/>
      <c r="I153" s="185"/>
      <c r="J153" s="752"/>
      <c r="K153" s="752"/>
      <c r="L153" s="185"/>
      <c r="M153" s="185"/>
      <c r="N153" s="185"/>
      <c r="O153" s="185"/>
      <c r="P153" s="185"/>
      <c r="Q153" s="185"/>
      <c r="R153" s="185"/>
      <c r="S153" s="185"/>
      <c r="T153" s="185"/>
    </row>
    <row r="154" spans="1:20">
      <c r="A154" s="185"/>
      <c r="B154" s="661"/>
      <c r="C154" s="185"/>
      <c r="D154" s="185"/>
      <c r="E154" s="185"/>
      <c r="F154" s="185"/>
      <c r="G154" s="186"/>
      <c r="H154" s="185"/>
      <c r="I154" s="185"/>
      <c r="J154" s="752"/>
      <c r="K154" s="752"/>
      <c r="L154" s="185"/>
      <c r="M154" s="185"/>
      <c r="N154" s="185"/>
      <c r="O154" s="185"/>
      <c r="P154" s="185"/>
      <c r="Q154" s="185"/>
      <c r="R154" s="185"/>
      <c r="S154" s="185"/>
      <c r="T154" s="185"/>
    </row>
    <row r="155" spans="1:20">
      <c r="A155" s="185"/>
      <c r="B155" s="661"/>
      <c r="C155" s="185"/>
      <c r="D155" s="185"/>
      <c r="E155" s="185"/>
      <c r="F155" s="185"/>
      <c r="G155" s="186"/>
      <c r="H155" s="185"/>
      <c r="I155" s="185"/>
      <c r="J155" s="752"/>
      <c r="K155" s="752"/>
      <c r="L155" s="185"/>
      <c r="M155" s="185"/>
      <c r="N155" s="185"/>
      <c r="O155" s="185"/>
      <c r="P155" s="185"/>
      <c r="Q155" s="185"/>
      <c r="R155" s="185"/>
      <c r="S155" s="185"/>
      <c r="T155" s="185"/>
    </row>
    <row r="156" spans="1:20">
      <c r="A156" s="185"/>
      <c r="B156" s="661"/>
      <c r="C156" s="185"/>
      <c r="D156" s="185"/>
      <c r="E156" s="185"/>
      <c r="F156" s="185"/>
      <c r="G156" s="186"/>
      <c r="H156" s="185"/>
      <c r="I156" s="185"/>
      <c r="J156" s="752"/>
      <c r="K156" s="752"/>
      <c r="L156" s="185"/>
      <c r="M156" s="185"/>
      <c r="N156" s="185"/>
      <c r="O156" s="185"/>
      <c r="P156" s="185"/>
      <c r="Q156" s="185"/>
      <c r="R156" s="185"/>
      <c r="S156" s="185"/>
      <c r="T156" s="185"/>
    </row>
    <row r="157" spans="1:20">
      <c r="A157" s="185"/>
      <c r="B157" s="661"/>
      <c r="C157" s="185"/>
      <c r="D157" s="185"/>
      <c r="E157" s="185"/>
      <c r="F157" s="185"/>
      <c r="G157" s="186"/>
      <c r="H157" s="185"/>
      <c r="I157" s="185"/>
      <c r="J157" s="752"/>
      <c r="K157" s="752"/>
      <c r="L157" s="185"/>
      <c r="M157" s="185"/>
      <c r="N157" s="185"/>
      <c r="O157" s="185"/>
      <c r="P157" s="185"/>
      <c r="Q157" s="185"/>
      <c r="R157" s="185"/>
      <c r="S157" s="185"/>
      <c r="T157" s="185"/>
    </row>
    <row r="158" spans="1:20">
      <c r="A158" s="185"/>
      <c r="B158" s="661"/>
      <c r="C158" s="185"/>
      <c r="D158" s="185"/>
      <c r="E158" s="185"/>
      <c r="F158" s="185"/>
      <c r="G158" s="186"/>
      <c r="H158" s="185"/>
      <c r="I158" s="185"/>
      <c r="J158" s="752"/>
      <c r="K158" s="752"/>
      <c r="L158" s="185"/>
      <c r="M158" s="185"/>
      <c r="N158" s="185"/>
      <c r="O158" s="185"/>
      <c r="P158" s="185"/>
      <c r="Q158" s="185"/>
      <c r="R158" s="185"/>
      <c r="S158" s="185"/>
      <c r="T158" s="185"/>
    </row>
    <row r="159" spans="1:20">
      <c r="A159" s="185"/>
      <c r="B159" s="661"/>
      <c r="C159" s="185"/>
      <c r="D159" s="185"/>
      <c r="E159" s="185"/>
      <c r="F159" s="185"/>
      <c r="G159" s="186"/>
      <c r="H159" s="185"/>
      <c r="I159" s="185"/>
      <c r="J159" s="752"/>
      <c r="K159" s="752"/>
      <c r="L159" s="185"/>
      <c r="M159" s="185"/>
      <c r="N159" s="185"/>
      <c r="O159" s="185"/>
      <c r="P159" s="185"/>
      <c r="Q159" s="185"/>
      <c r="R159" s="185"/>
      <c r="S159" s="185"/>
      <c r="T159" s="185"/>
    </row>
    <row r="160" spans="1:20">
      <c r="A160" s="185"/>
      <c r="B160" s="661"/>
      <c r="C160" s="185"/>
      <c r="D160" s="185"/>
      <c r="E160" s="185"/>
      <c r="F160" s="185"/>
      <c r="G160" s="186"/>
      <c r="H160" s="185"/>
      <c r="I160" s="185"/>
      <c r="J160" s="752"/>
      <c r="K160" s="752"/>
      <c r="L160" s="185"/>
      <c r="M160" s="185"/>
      <c r="N160" s="185"/>
      <c r="O160" s="185"/>
      <c r="P160" s="185"/>
      <c r="Q160" s="185"/>
      <c r="R160" s="185"/>
      <c r="S160" s="185"/>
      <c r="T160" s="185"/>
    </row>
    <row r="161" spans="1:20">
      <c r="A161" s="185"/>
      <c r="B161" s="661"/>
      <c r="C161" s="185"/>
      <c r="D161" s="185"/>
      <c r="E161" s="185"/>
      <c r="F161" s="185"/>
      <c r="G161" s="186"/>
      <c r="H161" s="185"/>
      <c r="I161" s="185"/>
      <c r="J161" s="752"/>
      <c r="K161" s="752"/>
      <c r="L161" s="185"/>
      <c r="M161" s="185"/>
      <c r="N161" s="185"/>
      <c r="O161" s="185"/>
      <c r="P161" s="185"/>
      <c r="Q161" s="185"/>
      <c r="R161" s="185"/>
      <c r="S161" s="185"/>
      <c r="T161" s="185"/>
    </row>
    <row r="162" spans="1:20">
      <c r="A162" s="185"/>
      <c r="B162" s="661"/>
      <c r="C162" s="185"/>
      <c r="D162" s="185"/>
      <c r="E162" s="185"/>
      <c r="F162" s="185"/>
      <c r="G162" s="186"/>
      <c r="H162" s="185"/>
      <c r="I162" s="185"/>
      <c r="J162" s="752"/>
      <c r="K162" s="752"/>
      <c r="L162" s="185"/>
      <c r="M162" s="185"/>
      <c r="N162" s="185"/>
      <c r="O162" s="185"/>
      <c r="P162" s="185"/>
      <c r="Q162" s="185"/>
      <c r="R162" s="185"/>
      <c r="S162" s="185"/>
      <c r="T162" s="185"/>
    </row>
    <row r="163" spans="1:20">
      <c r="A163" s="185"/>
      <c r="B163" s="661"/>
      <c r="C163" s="185"/>
      <c r="D163" s="185"/>
      <c r="E163" s="185"/>
      <c r="F163" s="185"/>
      <c r="G163" s="186"/>
      <c r="H163" s="185"/>
      <c r="I163" s="185"/>
      <c r="J163" s="752"/>
      <c r="K163" s="752"/>
      <c r="L163" s="185"/>
      <c r="M163" s="185"/>
      <c r="N163" s="185"/>
      <c r="O163" s="185"/>
      <c r="P163" s="185"/>
      <c r="Q163" s="185"/>
      <c r="R163" s="185"/>
      <c r="S163" s="185"/>
      <c r="T163" s="185"/>
    </row>
    <row r="164" spans="1:20">
      <c r="A164" s="185"/>
      <c r="B164" s="661"/>
      <c r="C164" s="185"/>
      <c r="D164" s="185"/>
      <c r="E164" s="185"/>
      <c r="F164" s="185"/>
      <c r="G164" s="186"/>
      <c r="H164" s="185"/>
      <c r="I164" s="185"/>
      <c r="J164" s="752"/>
      <c r="K164" s="752"/>
      <c r="L164" s="185"/>
      <c r="M164" s="185"/>
      <c r="N164" s="185"/>
      <c r="O164" s="185"/>
      <c r="P164" s="185"/>
      <c r="Q164" s="185"/>
      <c r="R164" s="185"/>
      <c r="S164" s="185"/>
      <c r="T164" s="185"/>
    </row>
    <row r="165" spans="1:20">
      <c r="A165" s="185"/>
      <c r="B165" s="661"/>
      <c r="C165" s="185"/>
      <c r="D165" s="185"/>
      <c r="E165" s="185"/>
      <c r="F165" s="185"/>
      <c r="G165" s="186"/>
      <c r="H165" s="185"/>
      <c r="I165" s="185"/>
      <c r="J165" s="752"/>
      <c r="K165" s="752"/>
      <c r="L165" s="185"/>
      <c r="M165" s="185"/>
      <c r="N165" s="185"/>
      <c r="O165" s="185"/>
      <c r="P165" s="185"/>
      <c r="Q165" s="185"/>
      <c r="R165" s="185"/>
      <c r="S165" s="185"/>
      <c r="T165" s="185"/>
    </row>
    <row r="166" spans="1:20">
      <c r="A166" s="185"/>
      <c r="B166" s="661"/>
      <c r="C166" s="185"/>
      <c r="D166" s="185"/>
      <c r="E166" s="185"/>
      <c r="F166" s="185"/>
      <c r="G166" s="186"/>
      <c r="H166" s="185"/>
      <c r="I166" s="185"/>
      <c r="J166" s="752"/>
      <c r="K166" s="752"/>
      <c r="L166" s="185"/>
      <c r="M166" s="185"/>
      <c r="N166" s="185"/>
      <c r="O166" s="185"/>
      <c r="P166" s="185"/>
      <c r="Q166" s="185"/>
      <c r="R166" s="185"/>
      <c r="S166" s="185"/>
      <c r="T166" s="185"/>
    </row>
    <row r="167" spans="1:20">
      <c r="A167" s="185"/>
      <c r="B167" s="661"/>
      <c r="C167" s="185"/>
      <c r="D167" s="185"/>
      <c r="E167" s="185"/>
      <c r="F167" s="185"/>
      <c r="G167" s="186"/>
      <c r="H167" s="185"/>
      <c r="I167" s="185"/>
      <c r="J167" s="752"/>
      <c r="K167" s="752"/>
      <c r="L167" s="185"/>
      <c r="M167" s="185"/>
      <c r="N167" s="185"/>
      <c r="O167" s="185"/>
      <c r="P167" s="185"/>
      <c r="Q167" s="185"/>
      <c r="R167" s="185"/>
      <c r="S167" s="185"/>
      <c r="T167" s="185"/>
    </row>
    <row r="168" spans="1:20">
      <c r="A168" s="185"/>
      <c r="B168" s="661"/>
      <c r="C168" s="185"/>
      <c r="D168" s="185"/>
      <c r="E168" s="185"/>
      <c r="F168" s="185"/>
      <c r="G168" s="186"/>
      <c r="H168" s="185"/>
      <c r="I168" s="185"/>
      <c r="J168" s="752"/>
      <c r="K168" s="752"/>
      <c r="L168" s="185"/>
      <c r="M168" s="185"/>
      <c r="N168" s="185"/>
      <c r="O168" s="185"/>
      <c r="P168" s="185"/>
      <c r="Q168" s="185"/>
      <c r="R168" s="185"/>
      <c r="S168" s="185"/>
      <c r="T168" s="185"/>
    </row>
    <row r="169" spans="1:20">
      <c r="A169" s="185"/>
      <c r="B169" s="661"/>
      <c r="C169" s="185"/>
      <c r="D169" s="185"/>
      <c r="E169" s="185"/>
      <c r="F169" s="185"/>
      <c r="G169" s="186"/>
      <c r="H169" s="185"/>
      <c r="I169" s="185"/>
      <c r="J169" s="752"/>
      <c r="K169" s="752"/>
      <c r="L169" s="185"/>
      <c r="M169" s="185"/>
      <c r="N169" s="185"/>
      <c r="O169" s="185"/>
      <c r="P169" s="185"/>
      <c r="Q169" s="185"/>
      <c r="R169" s="185"/>
      <c r="S169" s="185"/>
      <c r="T169" s="185"/>
    </row>
    <row r="170" spans="1:20">
      <c r="A170" s="185"/>
      <c r="B170" s="661"/>
      <c r="C170" s="185"/>
      <c r="D170" s="185"/>
      <c r="E170" s="185"/>
      <c r="F170" s="185"/>
      <c r="G170" s="186"/>
      <c r="H170" s="185"/>
      <c r="I170" s="185"/>
      <c r="J170" s="752"/>
      <c r="K170" s="752"/>
      <c r="L170" s="185"/>
      <c r="M170" s="185"/>
      <c r="N170" s="185"/>
      <c r="O170" s="185"/>
      <c r="P170" s="185"/>
      <c r="Q170" s="185"/>
      <c r="R170" s="185"/>
      <c r="S170" s="185"/>
      <c r="T170" s="185"/>
    </row>
    <row r="171" spans="1:20">
      <c r="A171" s="185"/>
      <c r="B171" s="661"/>
      <c r="C171" s="185"/>
      <c r="D171" s="185"/>
      <c r="E171" s="185"/>
      <c r="F171" s="185"/>
      <c r="G171" s="186"/>
      <c r="H171" s="185"/>
      <c r="I171" s="185"/>
      <c r="J171" s="752"/>
      <c r="K171" s="752"/>
      <c r="L171" s="185"/>
      <c r="M171" s="185"/>
      <c r="N171" s="185"/>
      <c r="O171" s="185"/>
      <c r="P171" s="185"/>
      <c r="Q171" s="185"/>
      <c r="R171" s="185"/>
      <c r="S171" s="185"/>
      <c r="T171" s="185"/>
    </row>
    <row r="172" spans="1:20">
      <c r="A172" s="185"/>
      <c r="B172" s="661"/>
      <c r="C172" s="185"/>
      <c r="D172" s="185"/>
      <c r="E172" s="185"/>
      <c r="F172" s="185"/>
      <c r="G172" s="186"/>
      <c r="H172" s="185"/>
      <c r="I172" s="185"/>
      <c r="J172" s="752"/>
      <c r="K172" s="752"/>
      <c r="L172" s="185"/>
      <c r="M172" s="185"/>
      <c r="N172" s="185"/>
      <c r="O172" s="185"/>
      <c r="P172" s="185"/>
      <c r="Q172" s="185"/>
      <c r="R172" s="185"/>
      <c r="S172" s="185"/>
      <c r="T172" s="185"/>
    </row>
    <row r="173" spans="1:20">
      <c r="A173" s="185"/>
      <c r="B173" s="661"/>
      <c r="C173" s="185"/>
      <c r="D173" s="185"/>
      <c r="E173" s="185"/>
      <c r="F173" s="185"/>
      <c r="G173" s="186"/>
      <c r="H173" s="185"/>
      <c r="I173" s="185"/>
      <c r="J173" s="752"/>
      <c r="K173" s="752"/>
      <c r="L173" s="185"/>
      <c r="M173" s="185"/>
      <c r="N173" s="185"/>
      <c r="O173" s="185"/>
      <c r="P173" s="185"/>
      <c r="Q173" s="185"/>
      <c r="R173" s="185"/>
      <c r="S173" s="185"/>
      <c r="T173" s="185"/>
    </row>
    <row r="174" spans="1:20">
      <c r="A174" s="185"/>
      <c r="B174" s="661"/>
      <c r="C174" s="185"/>
      <c r="D174" s="185"/>
      <c r="E174" s="185"/>
      <c r="F174" s="185"/>
      <c r="G174" s="186"/>
      <c r="H174" s="185"/>
      <c r="I174" s="185"/>
      <c r="J174" s="752"/>
      <c r="K174" s="752"/>
      <c r="L174" s="185"/>
      <c r="M174" s="185"/>
      <c r="N174" s="185"/>
      <c r="O174" s="185"/>
      <c r="P174" s="185"/>
      <c r="Q174" s="185"/>
      <c r="R174" s="185"/>
      <c r="S174" s="185"/>
      <c r="T174" s="185"/>
    </row>
    <row r="175" spans="1:20">
      <c r="A175" s="185"/>
      <c r="B175" s="661"/>
      <c r="C175" s="185"/>
      <c r="D175" s="185"/>
      <c r="E175" s="185"/>
      <c r="F175" s="185"/>
      <c r="G175" s="186"/>
      <c r="H175" s="185"/>
      <c r="I175" s="185"/>
      <c r="J175" s="752"/>
      <c r="K175" s="752"/>
      <c r="L175" s="185"/>
      <c r="M175" s="185"/>
      <c r="N175" s="185"/>
      <c r="O175" s="185"/>
      <c r="P175" s="185"/>
      <c r="Q175" s="185"/>
      <c r="R175" s="185"/>
      <c r="S175" s="185"/>
      <c r="T175" s="185"/>
    </row>
    <row r="176" spans="1:20">
      <c r="A176" s="185"/>
      <c r="B176" s="661"/>
      <c r="C176" s="185"/>
      <c r="D176" s="185"/>
      <c r="E176" s="185"/>
      <c r="F176" s="185"/>
      <c r="G176" s="186"/>
      <c r="H176" s="185"/>
      <c r="I176" s="185"/>
      <c r="J176" s="752"/>
      <c r="K176" s="752"/>
      <c r="L176" s="185"/>
      <c r="M176" s="185"/>
      <c r="N176" s="185"/>
      <c r="O176" s="185"/>
      <c r="P176" s="185"/>
      <c r="Q176" s="185"/>
      <c r="R176" s="185"/>
      <c r="S176" s="185"/>
      <c r="T176" s="185"/>
    </row>
    <row r="177" spans="1:20">
      <c r="A177" s="185"/>
      <c r="B177" s="661"/>
      <c r="C177" s="185"/>
      <c r="D177" s="185"/>
      <c r="E177" s="185"/>
      <c r="F177" s="185"/>
      <c r="G177" s="186"/>
      <c r="H177" s="185"/>
      <c r="I177" s="185"/>
      <c r="J177" s="752"/>
      <c r="K177" s="752"/>
      <c r="L177" s="185"/>
      <c r="M177" s="185"/>
      <c r="N177" s="185"/>
      <c r="O177" s="185"/>
      <c r="P177" s="185"/>
      <c r="Q177" s="185"/>
      <c r="R177" s="185"/>
      <c r="S177" s="185"/>
      <c r="T177" s="185"/>
    </row>
    <row r="178" spans="1:20">
      <c r="A178" s="185"/>
      <c r="B178" s="661"/>
      <c r="C178" s="185"/>
      <c r="D178" s="185"/>
      <c r="E178" s="185"/>
      <c r="F178" s="185"/>
      <c r="G178" s="186"/>
      <c r="H178" s="185"/>
      <c r="I178" s="185"/>
      <c r="J178" s="752"/>
      <c r="K178" s="752"/>
      <c r="L178" s="185"/>
      <c r="M178" s="185"/>
      <c r="N178" s="185"/>
      <c r="O178" s="185"/>
      <c r="P178" s="185"/>
      <c r="Q178" s="185"/>
      <c r="R178" s="185"/>
      <c r="S178" s="185"/>
      <c r="T178" s="185"/>
    </row>
    <row r="179" spans="1:20">
      <c r="A179" s="185"/>
      <c r="B179" s="661"/>
      <c r="C179" s="185"/>
      <c r="D179" s="185"/>
      <c r="E179" s="185"/>
      <c r="F179" s="185"/>
      <c r="G179" s="186"/>
      <c r="H179" s="185"/>
      <c r="I179" s="185"/>
      <c r="J179" s="752"/>
      <c r="K179" s="752"/>
      <c r="L179" s="185"/>
      <c r="M179" s="185"/>
      <c r="N179" s="185"/>
      <c r="O179" s="185"/>
      <c r="P179" s="185"/>
      <c r="Q179" s="185"/>
      <c r="R179" s="185"/>
      <c r="S179" s="185"/>
      <c r="T179" s="185"/>
    </row>
    <row r="180" spans="1:20">
      <c r="A180" s="185"/>
      <c r="B180" s="661"/>
      <c r="C180" s="185"/>
      <c r="D180" s="185"/>
      <c r="E180" s="185"/>
      <c r="F180" s="185"/>
      <c r="G180" s="186"/>
      <c r="H180" s="185"/>
      <c r="I180" s="185"/>
      <c r="J180" s="752"/>
      <c r="K180" s="752"/>
      <c r="L180" s="185"/>
      <c r="M180" s="185"/>
      <c r="N180" s="185"/>
      <c r="O180" s="185"/>
      <c r="P180" s="185"/>
      <c r="Q180" s="185"/>
      <c r="R180" s="185"/>
      <c r="S180" s="185"/>
      <c r="T180" s="185"/>
    </row>
    <row r="181" spans="1:20">
      <c r="A181" s="185"/>
      <c r="B181" s="661"/>
      <c r="C181" s="185"/>
      <c r="D181" s="185"/>
      <c r="E181" s="185"/>
      <c r="F181" s="185"/>
      <c r="G181" s="186"/>
      <c r="H181" s="185"/>
      <c r="I181" s="185"/>
      <c r="J181" s="752"/>
      <c r="K181" s="752"/>
      <c r="L181" s="185"/>
      <c r="M181" s="185"/>
      <c r="N181" s="185"/>
      <c r="O181" s="185"/>
      <c r="P181" s="185"/>
      <c r="Q181" s="185"/>
      <c r="R181" s="185"/>
      <c r="S181" s="185"/>
      <c r="T181" s="185"/>
    </row>
    <row r="182" spans="1:20">
      <c r="A182" s="185"/>
      <c r="B182" s="661"/>
      <c r="C182" s="185"/>
      <c r="D182" s="185"/>
      <c r="E182" s="185"/>
      <c r="F182" s="185"/>
      <c r="G182" s="186"/>
      <c r="H182" s="185"/>
      <c r="I182" s="185"/>
      <c r="J182" s="752"/>
      <c r="K182" s="752"/>
      <c r="L182" s="185"/>
      <c r="M182" s="185"/>
      <c r="N182" s="185"/>
      <c r="O182" s="185"/>
      <c r="P182" s="185"/>
      <c r="Q182" s="185"/>
      <c r="R182" s="185"/>
      <c r="S182" s="185"/>
      <c r="T182" s="185"/>
    </row>
    <row r="183" spans="1:20">
      <c r="A183" s="185"/>
      <c r="B183" s="661"/>
      <c r="C183" s="185"/>
      <c r="D183" s="185"/>
      <c r="E183" s="185"/>
      <c r="F183" s="185"/>
      <c r="G183" s="186"/>
      <c r="H183" s="185"/>
      <c r="I183" s="185"/>
      <c r="J183" s="752"/>
      <c r="K183" s="752"/>
      <c r="L183" s="185"/>
      <c r="M183" s="185"/>
      <c r="N183" s="185"/>
      <c r="O183" s="185"/>
      <c r="P183" s="185"/>
      <c r="Q183" s="185"/>
      <c r="R183" s="185"/>
      <c r="S183" s="185"/>
      <c r="T183" s="185"/>
    </row>
    <row r="184" spans="1:20">
      <c r="A184" s="185"/>
      <c r="B184" s="661"/>
      <c r="C184" s="185"/>
      <c r="D184" s="185"/>
      <c r="E184" s="185"/>
      <c r="F184" s="185"/>
      <c r="G184" s="186"/>
      <c r="H184" s="185"/>
      <c r="I184" s="185"/>
      <c r="J184" s="752"/>
      <c r="K184" s="752"/>
      <c r="L184" s="185"/>
      <c r="M184" s="185"/>
      <c r="N184" s="185"/>
      <c r="O184" s="185"/>
      <c r="P184" s="185"/>
      <c r="Q184" s="185"/>
      <c r="R184" s="185"/>
      <c r="S184" s="185"/>
      <c r="T184" s="185"/>
    </row>
    <row r="185" spans="1:20">
      <c r="A185" s="185"/>
      <c r="B185" s="661"/>
      <c r="C185" s="185"/>
      <c r="D185" s="185"/>
      <c r="E185" s="185"/>
      <c r="F185" s="185"/>
      <c r="G185" s="186"/>
      <c r="H185" s="185"/>
      <c r="I185" s="185"/>
      <c r="J185" s="752"/>
      <c r="K185" s="752"/>
      <c r="L185" s="185"/>
      <c r="M185" s="185"/>
      <c r="N185" s="185"/>
      <c r="O185" s="185"/>
      <c r="P185" s="185"/>
      <c r="Q185" s="185"/>
      <c r="R185" s="185"/>
      <c r="S185" s="185"/>
      <c r="T185" s="185"/>
    </row>
    <row r="186" spans="1:20">
      <c r="A186" s="185"/>
      <c r="B186" s="661"/>
      <c r="C186" s="185"/>
      <c r="D186" s="185"/>
      <c r="E186" s="185"/>
      <c r="F186" s="185"/>
      <c r="G186" s="186"/>
      <c r="H186" s="185"/>
      <c r="I186" s="185"/>
      <c r="J186" s="752"/>
      <c r="K186" s="752"/>
      <c r="L186" s="185"/>
      <c r="M186" s="185"/>
      <c r="N186" s="185"/>
      <c r="O186" s="185"/>
      <c r="P186" s="185"/>
      <c r="Q186" s="185"/>
      <c r="R186" s="185"/>
      <c r="S186" s="185"/>
      <c r="T186" s="185"/>
    </row>
    <row r="187" spans="1:20">
      <c r="A187" s="185"/>
      <c r="B187" s="661"/>
      <c r="C187" s="185"/>
      <c r="D187" s="185"/>
      <c r="E187" s="185"/>
      <c r="F187" s="185"/>
      <c r="G187" s="186"/>
      <c r="H187" s="185"/>
      <c r="I187" s="185"/>
      <c r="J187" s="752"/>
      <c r="K187" s="752"/>
      <c r="L187" s="185"/>
      <c r="M187" s="185"/>
      <c r="N187" s="185"/>
      <c r="O187" s="185"/>
      <c r="P187" s="185"/>
      <c r="Q187" s="185"/>
      <c r="R187" s="185"/>
      <c r="S187" s="185"/>
      <c r="T187" s="185"/>
    </row>
    <row r="188" spans="1:20">
      <c r="A188" s="185"/>
      <c r="B188" s="661"/>
      <c r="C188" s="185"/>
      <c r="D188" s="185"/>
      <c r="E188" s="185"/>
      <c r="F188" s="185"/>
      <c r="G188" s="186"/>
      <c r="H188" s="185"/>
      <c r="I188" s="185"/>
      <c r="J188" s="752"/>
      <c r="K188" s="752"/>
      <c r="L188" s="185"/>
      <c r="M188" s="185"/>
      <c r="N188" s="185"/>
      <c r="O188" s="185"/>
      <c r="P188" s="185"/>
      <c r="Q188" s="185"/>
      <c r="R188" s="185"/>
      <c r="S188" s="185"/>
      <c r="T188" s="185"/>
    </row>
    <row r="189" spans="1:20">
      <c r="A189" s="185"/>
      <c r="B189" s="661"/>
      <c r="C189" s="185"/>
      <c r="D189" s="185"/>
      <c r="E189" s="185"/>
      <c r="F189" s="185"/>
      <c r="G189" s="186"/>
      <c r="H189" s="185"/>
      <c r="I189" s="185"/>
      <c r="J189" s="752"/>
      <c r="K189" s="752"/>
      <c r="L189" s="185"/>
      <c r="M189" s="185"/>
      <c r="N189" s="185"/>
      <c r="O189" s="185"/>
      <c r="P189" s="185"/>
      <c r="Q189" s="185"/>
      <c r="R189" s="185"/>
      <c r="S189" s="185"/>
      <c r="T189" s="185"/>
    </row>
    <row r="190" spans="1:20">
      <c r="A190" s="185"/>
      <c r="B190" s="661"/>
      <c r="C190" s="185"/>
      <c r="D190" s="185"/>
      <c r="E190" s="185"/>
      <c r="F190" s="185"/>
      <c r="G190" s="186"/>
      <c r="H190" s="185"/>
      <c r="I190" s="185"/>
      <c r="J190" s="752"/>
      <c r="K190" s="752"/>
      <c r="L190" s="185"/>
      <c r="M190" s="185"/>
      <c r="N190" s="185"/>
      <c r="O190" s="185"/>
      <c r="P190" s="185"/>
      <c r="Q190" s="185"/>
      <c r="R190" s="185"/>
      <c r="S190" s="185"/>
      <c r="T190" s="185"/>
    </row>
    <row r="191" spans="1:20">
      <c r="A191" s="185"/>
      <c r="B191" s="661"/>
      <c r="C191" s="185"/>
      <c r="D191" s="185"/>
      <c r="E191" s="185"/>
      <c r="F191" s="185"/>
      <c r="G191" s="186"/>
      <c r="H191" s="185"/>
      <c r="I191" s="185"/>
      <c r="J191" s="752"/>
      <c r="K191" s="752"/>
      <c r="L191" s="185"/>
      <c r="M191" s="185"/>
      <c r="N191" s="185"/>
      <c r="O191" s="185"/>
      <c r="P191" s="185"/>
      <c r="Q191" s="185"/>
      <c r="R191" s="185"/>
      <c r="S191" s="185"/>
      <c r="T191" s="185"/>
    </row>
    <row r="192" spans="1:20">
      <c r="A192" s="185"/>
      <c r="B192" s="661"/>
      <c r="C192" s="185"/>
      <c r="D192" s="185"/>
      <c r="E192" s="185"/>
      <c r="F192" s="185"/>
      <c r="G192" s="186"/>
      <c r="H192" s="185"/>
      <c r="I192" s="185"/>
      <c r="J192" s="752"/>
      <c r="K192" s="752"/>
      <c r="L192" s="185"/>
      <c r="M192" s="185"/>
      <c r="N192" s="185"/>
      <c r="O192" s="185"/>
      <c r="P192" s="185"/>
      <c r="Q192" s="185"/>
      <c r="R192" s="185"/>
      <c r="S192" s="185"/>
      <c r="T192" s="185"/>
    </row>
    <row r="193" spans="1:20">
      <c r="A193" s="185"/>
      <c r="B193" s="661"/>
      <c r="C193" s="185"/>
      <c r="D193" s="185"/>
      <c r="E193" s="185"/>
      <c r="F193" s="185"/>
      <c r="G193" s="186"/>
      <c r="H193" s="185"/>
      <c r="I193" s="185"/>
      <c r="J193" s="752"/>
      <c r="K193" s="752"/>
      <c r="L193" s="185"/>
      <c r="M193" s="185"/>
      <c r="N193" s="185"/>
      <c r="O193" s="185"/>
      <c r="P193" s="185"/>
      <c r="Q193" s="185"/>
      <c r="R193" s="185"/>
      <c r="S193" s="185"/>
      <c r="T193" s="185"/>
    </row>
    <row r="194" spans="1:20">
      <c r="A194" s="185"/>
      <c r="B194" s="661"/>
      <c r="C194" s="185"/>
      <c r="D194" s="185"/>
      <c r="E194" s="185"/>
      <c r="F194" s="185"/>
      <c r="G194" s="186"/>
      <c r="H194" s="185"/>
      <c r="I194" s="185"/>
      <c r="J194" s="752"/>
      <c r="K194" s="752"/>
      <c r="L194" s="185"/>
      <c r="M194" s="185"/>
      <c r="N194" s="185"/>
      <c r="O194" s="185"/>
      <c r="P194" s="185"/>
      <c r="Q194" s="185"/>
      <c r="R194" s="185"/>
      <c r="S194" s="185"/>
      <c r="T194" s="185"/>
    </row>
    <row r="195" spans="1:20">
      <c r="A195" s="185"/>
      <c r="B195" s="661"/>
      <c r="C195" s="185"/>
      <c r="D195" s="185"/>
      <c r="E195" s="185"/>
      <c r="F195" s="185"/>
      <c r="G195" s="186"/>
      <c r="H195" s="185"/>
      <c r="I195" s="185"/>
      <c r="J195" s="752"/>
      <c r="K195" s="752"/>
      <c r="L195" s="185"/>
      <c r="M195" s="185"/>
      <c r="N195" s="185"/>
      <c r="O195" s="185"/>
      <c r="P195" s="185"/>
      <c r="Q195" s="185"/>
      <c r="R195" s="185"/>
      <c r="S195" s="185"/>
      <c r="T195" s="185"/>
    </row>
    <row r="196" spans="1:20">
      <c r="A196" s="185"/>
      <c r="B196" s="661"/>
      <c r="C196" s="185"/>
      <c r="D196" s="185"/>
      <c r="E196" s="185"/>
      <c r="F196" s="185"/>
      <c r="G196" s="186"/>
      <c r="H196" s="185"/>
      <c r="I196" s="185"/>
      <c r="J196" s="752"/>
      <c r="K196" s="752"/>
      <c r="L196" s="185"/>
      <c r="M196" s="185"/>
      <c r="N196" s="185"/>
      <c r="O196" s="185"/>
      <c r="P196" s="185"/>
      <c r="Q196" s="185"/>
      <c r="R196" s="185"/>
      <c r="S196" s="185"/>
      <c r="T196" s="185"/>
    </row>
    <row r="197" spans="1:20">
      <c r="A197" s="185"/>
      <c r="B197" s="661"/>
      <c r="C197" s="185"/>
      <c r="D197" s="185"/>
      <c r="E197" s="185"/>
      <c r="F197" s="185"/>
      <c r="G197" s="186"/>
      <c r="H197" s="185"/>
      <c r="I197" s="185"/>
      <c r="J197" s="752"/>
      <c r="K197" s="752"/>
      <c r="L197" s="185"/>
      <c r="M197" s="185"/>
      <c r="N197" s="185"/>
      <c r="O197" s="185"/>
      <c r="P197" s="185"/>
      <c r="Q197" s="185"/>
      <c r="R197" s="185"/>
      <c r="S197" s="185"/>
      <c r="T197" s="185"/>
    </row>
    <row r="198" spans="1:20">
      <c r="A198" s="185"/>
      <c r="B198" s="661"/>
      <c r="C198" s="185"/>
      <c r="D198" s="185"/>
      <c r="E198" s="185"/>
      <c r="F198" s="185"/>
      <c r="G198" s="186"/>
      <c r="H198" s="185"/>
      <c r="I198" s="185"/>
      <c r="J198" s="752"/>
      <c r="K198" s="752"/>
      <c r="L198" s="185"/>
      <c r="M198" s="185"/>
      <c r="N198" s="185"/>
      <c r="O198" s="185"/>
      <c r="P198" s="185"/>
      <c r="Q198" s="185"/>
      <c r="R198" s="185"/>
      <c r="S198" s="185"/>
      <c r="T198" s="185"/>
    </row>
    <row r="199" spans="1:20">
      <c r="A199" s="185"/>
      <c r="B199" s="661"/>
      <c r="C199" s="185"/>
      <c r="D199" s="185"/>
      <c r="E199" s="185"/>
      <c r="F199" s="185"/>
      <c r="G199" s="186"/>
      <c r="H199" s="185"/>
      <c r="I199" s="185"/>
      <c r="J199" s="752"/>
      <c r="K199" s="752"/>
      <c r="L199" s="185"/>
      <c r="M199" s="185"/>
      <c r="N199" s="185"/>
      <c r="O199" s="185"/>
      <c r="P199" s="185"/>
      <c r="Q199" s="185"/>
      <c r="R199" s="185"/>
      <c r="S199" s="185"/>
      <c r="T199" s="185"/>
    </row>
    <row r="200" spans="1:20">
      <c r="A200" s="185"/>
      <c r="B200" s="661"/>
      <c r="C200" s="185"/>
      <c r="D200" s="185"/>
      <c r="E200" s="185"/>
      <c r="F200" s="185"/>
      <c r="G200" s="186"/>
      <c r="H200" s="185"/>
      <c r="I200" s="185"/>
      <c r="J200" s="752"/>
      <c r="K200" s="752"/>
      <c r="L200" s="185"/>
      <c r="M200" s="185"/>
      <c r="N200" s="185"/>
      <c r="O200" s="185"/>
      <c r="P200" s="185"/>
      <c r="Q200" s="185"/>
      <c r="R200" s="185"/>
      <c r="S200" s="185"/>
      <c r="T200" s="185"/>
    </row>
    <row r="201" spans="1:20">
      <c r="A201" s="185"/>
      <c r="B201" s="661"/>
      <c r="C201" s="185"/>
      <c r="D201" s="185"/>
      <c r="E201" s="185"/>
      <c r="F201" s="185"/>
      <c r="G201" s="186"/>
      <c r="H201" s="185"/>
      <c r="I201" s="185"/>
      <c r="J201" s="752"/>
      <c r="K201" s="752"/>
      <c r="L201" s="185"/>
      <c r="M201" s="185"/>
      <c r="N201" s="185"/>
      <c r="O201" s="185"/>
      <c r="P201" s="185"/>
      <c r="Q201" s="185"/>
      <c r="R201" s="185"/>
      <c r="S201" s="185"/>
      <c r="T201" s="185"/>
    </row>
    <row r="202" spans="1:20">
      <c r="A202" s="185"/>
      <c r="B202" s="661"/>
      <c r="C202" s="185"/>
      <c r="D202" s="185"/>
      <c r="E202" s="185"/>
      <c r="F202" s="185"/>
      <c r="G202" s="186"/>
      <c r="H202" s="185"/>
      <c r="I202" s="185"/>
      <c r="J202" s="752"/>
      <c r="K202" s="752"/>
      <c r="L202" s="185"/>
      <c r="M202" s="185"/>
      <c r="N202" s="185"/>
      <c r="O202" s="185"/>
      <c r="P202" s="185"/>
      <c r="Q202" s="185"/>
      <c r="R202" s="185"/>
      <c r="S202" s="185"/>
      <c r="T202" s="185"/>
    </row>
    <row r="203" spans="1:20">
      <c r="A203" s="185"/>
      <c r="B203" s="661"/>
      <c r="C203" s="185"/>
      <c r="D203" s="185"/>
      <c r="E203" s="185"/>
      <c r="F203" s="185"/>
      <c r="G203" s="186"/>
      <c r="H203" s="185"/>
      <c r="I203" s="185"/>
      <c r="J203" s="752"/>
      <c r="K203" s="752"/>
      <c r="L203" s="185"/>
      <c r="M203" s="185"/>
      <c r="N203" s="185"/>
      <c r="O203" s="185"/>
      <c r="P203" s="185"/>
      <c r="Q203" s="185"/>
      <c r="R203" s="185"/>
      <c r="S203" s="185"/>
      <c r="T203" s="185"/>
    </row>
    <row r="204" spans="1:20">
      <c r="A204" s="185"/>
      <c r="B204" s="661"/>
      <c r="C204" s="185"/>
      <c r="D204" s="185"/>
      <c r="E204" s="185"/>
      <c r="F204" s="185"/>
      <c r="G204" s="186"/>
      <c r="H204" s="185"/>
      <c r="I204" s="185"/>
      <c r="J204" s="752"/>
      <c r="K204" s="752"/>
      <c r="L204" s="185"/>
      <c r="M204" s="185"/>
      <c r="N204" s="185"/>
      <c r="O204" s="185"/>
      <c r="P204" s="185"/>
      <c r="Q204" s="185"/>
      <c r="R204" s="185"/>
      <c r="S204" s="185"/>
      <c r="T204" s="185"/>
    </row>
    <row r="205" spans="1:20">
      <c r="A205" s="185"/>
      <c r="B205" s="661"/>
      <c r="C205" s="185"/>
      <c r="D205" s="185"/>
      <c r="E205" s="185"/>
      <c r="F205" s="185"/>
      <c r="G205" s="186"/>
      <c r="H205" s="185"/>
      <c r="I205" s="185"/>
      <c r="J205" s="752"/>
      <c r="K205" s="752"/>
      <c r="L205" s="185"/>
      <c r="M205" s="185"/>
      <c r="N205" s="185"/>
      <c r="O205" s="185"/>
      <c r="P205" s="185"/>
      <c r="Q205" s="185"/>
      <c r="R205" s="185"/>
      <c r="S205" s="185"/>
      <c r="T205" s="185"/>
    </row>
    <row r="206" spans="1:20">
      <c r="A206" s="185"/>
      <c r="B206" s="661"/>
      <c r="C206" s="185"/>
      <c r="D206" s="185"/>
      <c r="E206" s="185"/>
      <c r="F206" s="185"/>
      <c r="G206" s="186"/>
      <c r="H206" s="185"/>
      <c r="I206" s="185"/>
      <c r="J206" s="752"/>
      <c r="K206" s="752"/>
      <c r="L206" s="185"/>
      <c r="M206" s="185"/>
      <c r="N206" s="185"/>
      <c r="O206" s="185"/>
      <c r="P206" s="185"/>
      <c r="Q206" s="185"/>
      <c r="R206" s="185"/>
      <c r="S206" s="185"/>
      <c r="T206" s="185"/>
    </row>
    <row r="207" spans="1:20">
      <c r="A207" s="185"/>
      <c r="B207" s="661"/>
      <c r="C207" s="185"/>
      <c r="D207" s="185"/>
      <c r="E207" s="185"/>
      <c r="F207" s="185"/>
      <c r="G207" s="186"/>
      <c r="H207" s="185"/>
      <c r="I207" s="185"/>
      <c r="J207" s="752"/>
      <c r="K207" s="752"/>
      <c r="L207" s="185"/>
      <c r="M207" s="185"/>
      <c r="N207" s="185"/>
      <c r="O207" s="185"/>
      <c r="P207" s="185"/>
      <c r="Q207" s="185"/>
      <c r="R207" s="185"/>
      <c r="S207" s="185"/>
      <c r="T207" s="185"/>
    </row>
    <row r="208" spans="1:20">
      <c r="A208" s="185"/>
      <c r="B208" s="661"/>
      <c r="C208" s="185"/>
      <c r="D208" s="185"/>
      <c r="E208" s="185"/>
      <c r="F208" s="185"/>
      <c r="G208" s="186"/>
      <c r="H208" s="185"/>
      <c r="I208" s="185"/>
      <c r="J208" s="752"/>
      <c r="K208" s="752"/>
      <c r="L208" s="185"/>
      <c r="M208" s="185"/>
      <c r="N208" s="185"/>
      <c r="O208" s="185"/>
      <c r="P208" s="185"/>
      <c r="Q208" s="185"/>
      <c r="R208" s="185"/>
      <c r="S208" s="185"/>
      <c r="T208" s="185"/>
    </row>
    <row r="209" spans="1:20">
      <c r="A209" s="185"/>
      <c r="B209" s="661"/>
      <c r="C209" s="185"/>
      <c r="D209" s="185"/>
      <c r="E209" s="185"/>
      <c r="F209" s="185"/>
      <c r="G209" s="186"/>
      <c r="H209" s="185"/>
      <c r="I209" s="185"/>
      <c r="J209" s="752"/>
      <c r="K209" s="752"/>
      <c r="L209" s="185"/>
      <c r="M209" s="185"/>
      <c r="N209" s="185"/>
      <c r="O209" s="185"/>
      <c r="P209" s="185"/>
      <c r="Q209" s="185"/>
      <c r="R209" s="185"/>
      <c r="S209" s="185"/>
      <c r="T209" s="185"/>
    </row>
    <row r="210" spans="1:20">
      <c r="A210" s="185"/>
      <c r="B210" s="661"/>
      <c r="C210" s="185"/>
      <c r="D210" s="185"/>
      <c r="E210" s="185"/>
      <c r="F210" s="185"/>
      <c r="G210" s="186"/>
      <c r="H210" s="185"/>
      <c r="I210" s="185"/>
      <c r="J210" s="752"/>
      <c r="K210" s="752"/>
      <c r="L210" s="185"/>
      <c r="M210" s="185"/>
      <c r="N210" s="185"/>
      <c r="O210" s="185"/>
      <c r="P210" s="185"/>
      <c r="Q210" s="185"/>
      <c r="R210" s="185"/>
      <c r="S210" s="185"/>
      <c r="T210" s="185"/>
    </row>
    <row r="211" spans="1:20">
      <c r="A211" s="185"/>
      <c r="B211" s="661"/>
      <c r="C211" s="185"/>
      <c r="D211" s="185"/>
      <c r="E211" s="185"/>
      <c r="F211" s="185"/>
      <c r="G211" s="186"/>
      <c r="H211" s="185"/>
      <c r="I211" s="185"/>
      <c r="J211" s="752"/>
      <c r="K211" s="752"/>
      <c r="L211" s="185"/>
      <c r="M211" s="185"/>
      <c r="N211" s="185"/>
      <c r="O211" s="185"/>
      <c r="P211" s="185"/>
      <c r="Q211" s="185"/>
      <c r="R211" s="185"/>
      <c r="S211" s="185"/>
      <c r="T211" s="185"/>
    </row>
    <row r="212" spans="1:20">
      <c r="A212" s="185"/>
      <c r="B212" s="661"/>
      <c r="C212" s="185"/>
      <c r="D212" s="185"/>
      <c r="E212" s="185"/>
      <c r="F212" s="185"/>
      <c r="G212" s="186"/>
      <c r="H212" s="185"/>
      <c r="I212" s="185"/>
      <c r="J212" s="752"/>
      <c r="K212" s="752"/>
      <c r="L212" s="185"/>
      <c r="M212" s="185"/>
      <c r="N212" s="185"/>
      <c r="O212" s="185"/>
      <c r="P212" s="185"/>
      <c r="Q212" s="185"/>
      <c r="R212" s="185"/>
      <c r="S212" s="185"/>
      <c r="T212" s="185"/>
    </row>
    <row r="213" spans="1:20">
      <c r="A213" s="185"/>
      <c r="B213" s="661"/>
      <c r="C213" s="185"/>
      <c r="D213" s="185"/>
      <c r="E213" s="185"/>
      <c r="F213" s="185"/>
      <c r="G213" s="186"/>
      <c r="H213" s="185"/>
      <c r="I213" s="185"/>
      <c r="J213" s="752"/>
      <c r="K213" s="752"/>
      <c r="L213" s="185"/>
      <c r="M213" s="185"/>
      <c r="N213" s="185"/>
      <c r="O213" s="185"/>
      <c r="P213" s="185"/>
      <c r="Q213" s="185"/>
      <c r="R213" s="185"/>
      <c r="S213" s="185"/>
      <c r="T213" s="185"/>
    </row>
    <row r="214" spans="1:20">
      <c r="A214" s="185"/>
      <c r="B214" s="661"/>
      <c r="C214" s="185"/>
      <c r="D214" s="185"/>
      <c r="E214" s="185"/>
      <c r="F214" s="185"/>
      <c r="G214" s="186"/>
      <c r="H214" s="185"/>
      <c r="I214" s="185"/>
      <c r="J214" s="752"/>
      <c r="K214" s="752"/>
      <c r="L214" s="185"/>
      <c r="M214" s="185"/>
      <c r="N214" s="185"/>
      <c r="O214" s="185"/>
      <c r="P214" s="185"/>
      <c r="Q214" s="185"/>
      <c r="R214" s="185"/>
      <c r="S214" s="185"/>
      <c r="T214" s="185"/>
    </row>
    <row r="215" spans="1:20">
      <c r="A215" s="185"/>
      <c r="B215" s="661"/>
      <c r="C215" s="185"/>
      <c r="D215" s="185"/>
      <c r="E215" s="185"/>
      <c r="F215" s="185"/>
      <c r="G215" s="186"/>
      <c r="H215" s="185"/>
      <c r="I215" s="185"/>
      <c r="J215" s="752"/>
      <c r="K215" s="752"/>
      <c r="L215" s="185"/>
      <c r="M215" s="185"/>
      <c r="N215" s="185"/>
      <c r="O215" s="185"/>
      <c r="P215" s="185"/>
      <c r="Q215" s="185"/>
      <c r="R215" s="185"/>
      <c r="S215" s="185"/>
      <c r="T215" s="185"/>
    </row>
    <row r="216" spans="1:20">
      <c r="A216" s="185"/>
      <c r="B216" s="661"/>
      <c r="C216" s="185"/>
      <c r="D216" s="185"/>
      <c r="E216" s="185"/>
      <c r="F216" s="185"/>
      <c r="G216" s="186"/>
      <c r="H216" s="185"/>
      <c r="I216" s="185"/>
      <c r="J216" s="752"/>
      <c r="K216" s="752"/>
      <c r="L216" s="185"/>
      <c r="M216" s="185"/>
      <c r="N216" s="185"/>
      <c r="O216" s="185"/>
      <c r="P216" s="185"/>
      <c r="Q216" s="185"/>
      <c r="R216" s="185"/>
      <c r="S216" s="185"/>
      <c r="T216" s="185"/>
    </row>
    <row r="217" spans="1:20">
      <c r="A217" s="185"/>
      <c r="B217" s="661"/>
      <c r="C217" s="185"/>
      <c r="D217" s="185"/>
      <c r="E217" s="185"/>
      <c r="F217" s="185"/>
      <c r="G217" s="186"/>
      <c r="H217" s="185"/>
      <c r="I217" s="185"/>
      <c r="J217" s="752"/>
      <c r="K217" s="752"/>
      <c r="L217" s="185"/>
      <c r="M217" s="185"/>
      <c r="N217" s="185"/>
      <c r="O217" s="185"/>
      <c r="P217" s="185"/>
      <c r="Q217" s="185"/>
      <c r="R217" s="185"/>
      <c r="S217" s="185"/>
      <c r="T217" s="185"/>
    </row>
    <row r="218" spans="1:20">
      <c r="A218" s="185"/>
      <c r="B218" s="661"/>
      <c r="C218" s="185"/>
      <c r="D218" s="185"/>
      <c r="E218" s="185"/>
      <c r="F218" s="185"/>
      <c r="G218" s="186"/>
      <c r="H218" s="185"/>
      <c r="I218" s="185"/>
      <c r="J218" s="752"/>
      <c r="K218" s="752"/>
      <c r="L218" s="185"/>
      <c r="M218" s="185"/>
      <c r="N218" s="185"/>
      <c r="O218" s="185"/>
      <c r="P218" s="185"/>
      <c r="Q218" s="185"/>
      <c r="R218" s="185"/>
      <c r="S218" s="185"/>
      <c r="T218" s="185"/>
    </row>
    <row r="219" spans="1:20">
      <c r="A219" s="185"/>
      <c r="B219" s="661"/>
      <c r="C219" s="185"/>
      <c r="D219" s="185"/>
      <c r="E219" s="185"/>
      <c r="F219" s="185"/>
      <c r="G219" s="186"/>
      <c r="H219" s="185"/>
      <c r="I219" s="185"/>
      <c r="J219" s="752"/>
      <c r="K219" s="752"/>
      <c r="L219" s="185"/>
      <c r="M219" s="185"/>
      <c r="N219" s="185"/>
      <c r="O219" s="185"/>
      <c r="P219" s="185"/>
      <c r="Q219" s="185"/>
      <c r="R219" s="185"/>
      <c r="S219" s="185"/>
      <c r="T219" s="185"/>
    </row>
    <row r="220" spans="1:20">
      <c r="A220" s="185"/>
      <c r="B220" s="661"/>
      <c r="C220" s="185"/>
      <c r="D220" s="185"/>
      <c r="E220" s="185"/>
      <c r="F220" s="185"/>
      <c r="G220" s="186"/>
      <c r="H220" s="185"/>
      <c r="I220" s="185"/>
      <c r="J220" s="752"/>
      <c r="K220" s="752"/>
      <c r="L220" s="185"/>
      <c r="M220" s="185"/>
      <c r="N220" s="185"/>
      <c r="O220" s="185"/>
      <c r="P220" s="185"/>
      <c r="Q220" s="185"/>
      <c r="R220" s="185"/>
      <c r="S220" s="185"/>
      <c r="T220" s="185"/>
    </row>
    <row r="221" spans="1:20">
      <c r="A221" s="185"/>
      <c r="B221" s="661"/>
      <c r="C221" s="185"/>
      <c r="D221" s="185"/>
      <c r="E221" s="185"/>
      <c r="F221" s="185"/>
      <c r="G221" s="186"/>
      <c r="H221" s="185"/>
      <c r="I221" s="185"/>
      <c r="J221" s="752"/>
      <c r="K221" s="752"/>
      <c r="L221" s="185"/>
      <c r="M221" s="185"/>
      <c r="N221" s="185"/>
      <c r="O221" s="185"/>
      <c r="P221" s="185"/>
      <c r="Q221" s="185"/>
      <c r="R221" s="185"/>
      <c r="S221" s="185"/>
      <c r="T221" s="185"/>
    </row>
    <row r="222" spans="1:20">
      <c r="A222" s="185"/>
      <c r="B222" s="661"/>
      <c r="C222" s="185"/>
      <c r="D222" s="185"/>
      <c r="E222" s="185"/>
      <c r="F222" s="185"/>
      <c r="G222" s="186"/>
      <c r="H222" s="185"/>
      <c r="I222" s="185"/>
      <c r="J222" s="752"/>
      <c r="K222" s="752"/>
      <c r="L222" s="185"/>
      <c r="M222" s="185"/>
      <c r="N222" s="185"/>
      <c r="O222" s="185"/>
      <c r="P222" s="185"/>
      <c r="Q222" s="185"/>
      <c r="R222" s="185"/>
      <c r="S222" s="185"/>
      <c r="T222" s="185"/>
    </row>
    <row r="223" spans="1:20">
      <c r="A223" s="185"/>
      <c r="B223" s="661"/>
      <c r="C223" s="185"/>
      <c r="D223" s="185"/>
      <c r="E223" s="185"/>
      <c r="F223" s="185"/>
      <c r="G223" s="186"/>
      <c r="H223" s="185"/>
      <c r="I223" s="185"/>
      <c r="J223" s="752"/>
      <c r="K223" s="752"/>
      <c r="L223" s="185"/>
      <c r="M223" s="185"/>
      <c r="N223" s="185"/>
      <c r="O223" s="185"/>
      <c r="P223" s="185"/>
      <c r="Q223" s="185"/>
      <c r="R223" s="185"/>
      <c r="S223" s="185"/>
      <c r="T223" s="185"/>
    </row>
    <row r="224" spans="1:20">
      <c r="A224" s="185"/>
      <c r="B224" s="661"/>
      <c r="C224" s="185"/>
      <c r="D224" s="185"/>
      <c r="E224" s="185"/>
      <c r="F224" s="185"/>
      <c r="G224" s="186"/>
      <c r="H224" s="185"/>
      <c r="I224" s="185"/>
      <c r="J224" s="752"/>
      <c r="K224" s="752"/>
      <c r="L224" s="185"/>
      <c r="M224" s="185"/>
      <c r="N224" s="185"/>
      <c r="O224" s="185"/>
      <c r="P224" s="185"/>
      <c r="Q224" s="185"/>
      <c r="R224" s="185"/>
      <c r="S224" s="185"/>
      <c r="T224" s="185"/>
    </row>
    <row r="225" spans="1:20">
      <c r="A225" s="185"/>
      <c r="B225" s="661"/>
      <c r="C225" s="185"/>
      <c r="D225" s="185"/>
      <c r="E225" s="185"/>
      <c r="F225" s="185"/>
      <c r="G225" s="186"/>
      <c r="H225" s="185"/>
      <c r="I225" s="185"/>
      <c r="J225" s="752"/>
      <c r="K225" s="752"/>
      <c r="L225" s="185"/>
      <c r="M225" s="185"/>
      <c r="N225" s="185"/>
      <c r="O225" s="185"/>
      <c r="P225" s="185"/>
      <c r="Q225" s="185"/>
      <c r="R225" s="185"/>
      <c r="S225" s="185"/>
      <c r="T225" s="185"/>
    </row>
    <row r="226" spans="1:20">
      <c r="A226" s="185"/>
      <c r="B226" s="661"/>
      <c r="C226" s="185"/>
      <c r="D226" s="185"/>
      <c r="E226" s="185"/>
      <c r="F226" s="185"/>
      <c r="G226" s="186"/>
      <c r="H226" s="185"/>
      <c r="I226" s="185"/>
      <c r="J226" s="752"/>
      <c r="K226" s="752"/>
      <c r="L226" s="185"/>
      <c r="M226" s="185"/>
      <c r="N226" s="185"/>
      <c r="O226" s="185"/>
      <c r="P226" s="185"/>
      <c r="Q226" s="185"/>
      <c r="R226" s="185"/>
      <c r="S226" s="185"/>
      <c r="T226" s="185"/>
    </row>
    <row r="227" spans="1:20">
      <c r="A227" s="185"/>
      <c r="B227" s="661"/>
      <c r="C227" s="185"/>
      <c r="D227" s="185"/>
      <c r="E227" s="185"/>
      <c r="F227" s="185"/>
      <c r="G227" s="186"/>
      <c r="H227" s="185"/>
      <c r="I227" s="185"/>
      <c r="J227" s="752"/>
      <c r="K227" s="752"/>
      <c r="L227" s="185"/>
      <c r="M227" s="185"/>
      <c r="N227" s="185"/>
      <c r="O227" s="185"/>
      <c r="P227" s="185"/>
      <c r="Q227" s="185"/>
      <c r="R227" s="185"/>
      <c r="S227" s="185"/>
      <c r="T227" s="185"/>
    </row>
    <row r="228" spans="1:20">
      <c r="A228" s="185"/>
      <c r="B228" s="661"/>
      <c r="C228" s="185"/>
      <c r="D228" s="185"/>
      <c r="E228" s="185"/>
      <c r="F228" s="185"/>
      <c r="G228" s="186"/>
      <c r="H228" s="185"/>
      <c r="I228" s="185"/>
      <c r="J228" s="752"/>
      <c r="K228" s="752"/>
      <c r="L228" s="185"/>
      <c r="M228" s="185"/>
      <c r="N228" s="185"/>
      <c r="O228" s="185"/>
      <c r="P228" s="185"/>
      <c r="Q228" s="185"/>
      <c r="R228" s="185"/>
      <c r="S228" s="185"/>
      <c r="T228" s="185"/>
    </row>
    <row r="229" spans="1:20">
      <c r="A229" s="185"/>
      <c r="B229" s="661"/>
      <c r="C229" s="185"/>
      <c r="D229" s="185"/>
      <c r="E229" s="185"/>
      <c r="F229" s="185"/>
      <c r="G229" s="186"/>
      <c r="H229" s="185"/>
      <c r="I229" s="185"/>
      <c r="J229" s="752"/>
      <c r="K229" s="752"/>
      <c r="L229" s="185"/>
      <c r="M229" s="185"/>
      <c r="N229" s="185"/>
      <c r="O229" s="185"/>
      <c r="P229" s="185"/>
      <c r="Q229" s="185"/>
      <c r="R229" s="185"/>
      <c r="S229" s="185"/>
      <c r="T229" s="185"/>
    </row>
    <row r="230" spans="1:20">
      <c r="A230" s="185"/>
      <c r="B230" s="661"/>
      <c r="C230" s="185"/>
      <c r="D230" s="185"/>
      <c r="E230" s="185"/>
      <c r="F230" s="185"/>
      <c r="G230" s="186"/>
      <c r="H230" s="185"/>
      <c r="I230" s="185"/>
      <c r="J230" s="752"/>
      <c r="K230" s="752"/>
      <c r="L230" s="185"/>
      <c r="M230" s="185"/>
      <c r="N230" s="185"/>
      <c r="O230" s="185"/>
      <c r="P230" s="185"/>
      <c r="Q230" s="185"/>
      <c r="R230" s="185"/>
      <c r="S230" s="185"/>
      <c r="T230" s="185"/>
    </row>
    <row r="231" spans="1:20">
      <c r="A231" s="185"/>
      <c r="B231" s="661"/>
      <c r="C231" s="185"/>
      <c r="D231" s="185"/>
      <c r="E231" s="185"/>
      <c r="F231" s="185"/>
      <c r="G231" s="186"/>
      <c r="H231" s="185"/>
      <c r="I231" s="185"/>
      <c r="J231" s="752"/>
      <c r="K231" s="752"/>
      <c r="L231" s="185"/>
      <c r="M231" s="185"/>
      <c r="N231" s="185"/>
      <c r="O231" s="185"/>
      <c r="P231" s="185"/>
      <c r="Q231" s="185"/>
      <c r="R231" s="185"/>
      <c r="S231" s="185"/>
      <c r="T231" s="185"/>
    </row>
    <row r="232" spans="1:20">
      <c r="A232" s="185"/>
      <c r="B232" s="661"/>
      <c r="C232" s="185"/>
      <c r="D232" s="185"/>
      <c r="E232" s="185"/>
      <c r="F232" s="185"/>
      <c r="G232" s="186"/>
      <c r="H232" s="185"/>
      <c r="I232" s="185"/>
      <c r="J232" s="752"/>
      <c r="K232" s="752"/>
      <c r="L232" s="185"/>
      <c r="M232" s="185"/>
      <c r="N232" s="185"/>
      <c r="O232" s="185"/>
      <c r="P232" s="185"/>
      <c r="Q232" s="185"/>
      <c r="R232" s="185"/>
      <c r="S232" s="185"/>
      <c r="T232" s="185"/>
    </row>
    <row r="233" spans="1:20">
      <c r="A233" s="185"/>
      <c r="B233" s="661"/>
      <c r="C233" s="185"/>
      <c r="D233" s="185"/>
      <c r="E233" s="185"/>
      <c r="F233" s="185"/>
      <c r="G233" s="186"/>
      <c r="H233" s="185"/>
      <c r="I233" s="185"/>
      <c r="J233" s="752"/>
      <c r="K233" s="752"/>
      <c r="L233" s="185"/>
      <c r="M233" s="185"/>
      <c r="N233" s="185"/>
      <c r="O233" s="185"/>
      <c r="P233" s="185"/>
      <c r="Q233" s="185"/>
      <c r="R233" s="185"/>
      <c r="S233" s="185"/>
      <c r="T233" s="185"/>
    </row>
    <row r="234" spans="1:20">
      <c r="A234" s="185"/>
      <c r="B234" s="661"/>
      <c r="C234" s="185"/>
      <c r="D234" s="185"/>
      <c r="E234" s="185"/>
      <c r="F234" s="185"/>
      <c r="G234" s="186"/>
      <c r="H234" s="185"/>
      <c r="I234" s="185"/>
      <c r="J234" s="752"/>
      <c r="K234" s="752"/>
      <c r="L234" s="185"/>
      <c r="M234" s="185"/>
      <c r="N234" s="185"/>
      <c r="O234" s="185"/>
      <c r="P234" s="185"/>
      <c r="Q234" s="185"/>
      <c r="R234" s="185"/>
      <c r="S234" s="185"/>
      <c r="T234" s="185"/>
    </row>
    <row r="235" spans="1:20">
      <c r="A235" s="185"/>
      <c r="B235" s="661"/>
      <c r="C235" s="185"/>
      <c r="D235" s="185"/>
      <c r="E235" s="185"/>
      <c r="F235" s="185"/>
      <c r="G235" s="186"/>
      <c r="H235" s="185"/>
      <c r="I235" s="185"/>
      <c r="J235" s="752"/>
      <c r="K235" s="752"/>
      <c r="L235" s="185"/>
      <c r="M235" s="185"/>
      <c r="N235" s="185"/>
      <c r="O235" s="185"/>
      <c r="P235" s="185"/>
      <c r="Q235" s="185"/>
      <c r="R235" s="185"/>
      <c r="S235" s="185"/>
      <c r="T235" s="185"/>
    </row>
    <row r="236" spans="1:20">
      <c r="A236" s="185"/>
      <c r="B236" s="661"/>
      <c r="C236" s="185"/>
      <c r="D236" s="185"/>
      <c r="E236" s="185"/>
      <c r="F236" s="185"/>
      <c r="G236" s="186"/>
      <c r="H236" s="185"/>
      <c r="I236" s="185"/>
      <c r="J236" s="752"/>
      <c r="K236" s="752"/>
      <c r="L236" s="185"/>
      <c r="M236" s="185"/>
      <c r="N236" s="185"/>
      <c r="O236" s="185"/>
      <c r="P236" s="185"/>
      <c r="Q236" s="185"/>
      <c r="R236" s="185"/>
      <c r="S236" s="185"/>
      <c r="T236" s="185"/>
    </row>
    <row r="237" spans="1:20">
      <c r="A237" s="185"/>
      <c r="B237" s="661"/>
      <c r="C237" s="185"/>
      <c r="D237" s="185"/>
      <c r="E237" s="185"/>
      <c r="F237" s="185"/>
      <c r="G237" s="186"/>
      <c r="H237" s="185"/>
      <c r="I237" s="185"/>
      <c r="J237" s="752"/>
      <c r="K237" s="752"/>
      <c r="L237" s="185"/>
      <c r="M237" s="185"/>
      <c r="N237" s="185"/>
      <c r="O237" s="185"/>
      <c r="P237" s="185"/>
      <c r="Q237" s="185"/>
      <c r="R237" s="185"/>
      <c r="S237" s="185"/>
      <c r="T237" s="185"/>
    </row>
    <row r="238" spans="1:20">
      <c r="A238" s="185"/>
      <c r="B238" s="661"/>
      <c r="C238" s="185"/>
      <c r="D238" s="185"/>
      <c r="E238" s="185"/>
      <c r="F238" s="185"/>
      <c r="G238" s="186"/>
      <c r="H238" s="185"/>
      <c r="I238" s="185"/>
      <c r="J238" s="752"/>
      <c r="K238" s="752"/>
      <c r="L238" s="185"/>
      <c r="M238" s="185"/>
      <c r="N238" s="185"/>
      <c r="O238" s="185"/>
      <c r="P238" s="185"/>
      <c r="Q238" s="185"/>
      <c r="R238" s="185"/>
      <c r="S238" s="185"/>
      <c r="T238" s="185"/>
    </row>
    <row r="239" spans="1:20">
      <c r="A239" s="185"/>
      <c r="B239" s="661"/>
      <c r="C239" s="185"/>
      <c r="D239" s="185"/>
      <c r="E239" s="185"/>
      <c r="F239" s="185"/>
      <c r="G239" s="186"/>
      <c r="H239" s="185"/>
      <c r="I239" s="185"/>
      <c r="J239" s="752"/>
      <c r="K239" s="752"/>
      <c r="L239" s="185"/>
      <c r="M239" s="185"/>
      <c r="N239" s="185"/>
      <c r="O239" s="185"/>
      <c r="P239" s="185"/>
      <c r="Q239" s="185"/>
      <c r="R239" s="185"/>
      <c r="S239" s="185"/>
      <c r="T239" s="185"/>
    </row>
    <row r="240" spans="1:20">
      <c r="A240" s="185"/>
      <c r="B240" s="661"/>
      <c r="C240" s="185"/>
      <c r="D240" s="185"/>
      <c r="E240" s="185"/>
      <c r="F240" s="185"/>
      <c r="G240" s="186"/>
      <c r="H240" s="185"/>
      <c r="I240" s="185"/>
      <c r="J240" s="752"/>
      <c r="K240" s="752"/>
      <c r="L240" s="185"/>
      <c r="M240" s="185"/>
      <c r="N240" s="185"/>
      <c r="O240" s="185"/>
      <c r="P240" s="185"/>
      <c r="Q240" s="185"/>
      <c r="R240" s="185"/>
      <c r="S240" s="185"/>
      <c r="T240" s="185"/>
    </row>
    <row r="241" spans="1:20">
      <c r="A241" s="185"/>
      <c r="B241" s="661"/>
      <c r="C241" s="185"/>
      <c r="D241" s="185"/>
      <c r="E241" s="185"/>
      <c r="F241" s="185"/>
      <c r="G241" s="186"/>
      <c r="H241" s="185"/>
      <c r="I241" s="185"/>
      <c r="J241" s="752"/>
      <c r="K241" s="752"/>
      <c r="L241" s="185"/>
      <c r="M241" s="185"/>
      <c r="N241" s="185"/>
      <c r="O241" s="185"/>
      <c r="P241" s="185"/>
      <c r="Q241" s="185"/>
      <c r="R241" s="185"/>
      <c r="S241" s="185"/>
      <c r="T241" s="185"/>
    </row>
    <row r="242" spans="1:20">
      <c r="A242" s="185"/>
      <c r="B242" s="661"/>
      <c r="C242" s="185"/>
      <c r="D242" s="185"/>
      <c r="E242" s="185"/>
      <c r="F242" s="185"/>
      <c r="G242" s="186"/>
      <c r="H242" s="185"/>
      <c r="I242" s="185"/>
      <c r="J242" s="752"/>
      <c r="K242" s="752"/>
      <c r="L242" s="185"/>
      <c r="M242" s="185"/>
      <c r="N242" s="185"/>
      <c r="O242" s="185"/>
      <c r="P242" s="185"/>
      <c r="Q242" s="185"/>
      <c r="R242" s="185"/>
      <c r="S242" s="185"/>
      <c r="T242" s="185"/>
    </row>
    <row r="243" spans="1:20">
      <c r="A243" s="185"/>
      <c r="B243" s="661"/>
      <c r="C243" s="185"/>
      <c r="D243" s="185"/>
      <c r="E243" s="185"/>
      <c r="F243" s="185"/>
      <c r="G243" s="186"/>
      <c r="H243" s="185"/>
      <c r="I243" s="185"/>
      <c r="J243" s="752"/>
      <c r="K243" s="752"/>
      <c r="L243" s="185"/>
      <c r="M243" s="185"/>
      <c r="N243" s="185"/>
      <c r="O243" s="185"/>
      <c r="P243" s="185"/>
      <c r="Q243" s="185"/>
      <c r="R243" s="185"/>
      <c r="S243" s="185"/>
      <c r="T243" s="185"/>
    </row>
    <row r="244" spans="1:20">
      <c r="A244" s="185"/>
      <c r="B244" s="661"/>
      <c r="C244" s="185"/>
      <c r="D244" s="185"/>
      <c r="E244" s="185"/>
      <c r="F244" s="185"/>
      <c r="G244" s="186"/>
      <c r="H244" s="185"/>
      <c r="I244" s="185"/>
      <c r="J244" s="752"/>
      <c r="K244" s="752"/>
      <c r="L244" s="185"/>
      <c r="M244" s="185"/>
      <c r="N244" s="185"/>
      <c r="O244" s="185"/>
      <c r="P244" s="185"/>
      <c r="Q244" s="185"/>
      <c r="R244" s="185"/>
      <c r="S244" s="185"/>
      <c r="T244" s="185"/>
    </row>
    <row r="245" spans="1:20">
      <c r="A245" s="185"/>
      <c r="B245" s="661"/>
      <c r="C245" s="185"/>
      <c r="D245" s="185"/>
      <c r="E245" s="185"/>
      <c r="F245" s="185"/>
      <c r="G245" s="186"/>
      <c r="H245" s="185"/>
      <c r="I245" s="185"/>
      <c r="J245" s="752"/>
      <c r="K245" s="752"/>
      <c r="L245" s="185"/>
      <c r="M245" s="185"/>
      <c r="N245" s="185"/>
      <c r="O245" s="185"/>
      <c r="P245" s="185"/>
      <c r="Q245" s="185"/>
      <c r="R245" s="185"/>
      <c r="S245" s="185"/>
      <c r="T245" s="185"/>
    </row>
    <row r="246" spans="1:20">
      <c r="A246" s="185"/>
      <c r="B246" s="661"/>
      <c r="C246" s="185"/>
      <c r="D246" s="185"/>
      <c r="E246" s="185"/>
      <c r="F246" s="185"/>
      <c r="G246" s="186"/>
      <c r="H246" s="185"/>
      <c r="I246" s="185"/>
      <c r="J246" s="752"/>
      <c r="K246" s="752"/>
      <c r="L246" s="185"/>
      <c r="M246" s="185"/>
      <c r="N246" s="185"/>
      <c r="O246" s="185"/>
      <c r="P246" s="185"/>
      <c r="Q246" s="185"/>
      <c r="R246" s="185"/>
      <c r="S246" s="185"/>
      <c r="T246" s="185"/>
    </row>
    <row r="247" spans="1:20">
      <c r="A247" s="185"/>
      <c r="B247" s="661"/>
      <c r="C247" s="185"/>
      <c r="D247" s="185"/>
      <c r="E247" s="185"/>
      <c r="F247" s="185"/>
      <c r="G247" s="186"/>
      <c r="H247" s="185"/>
      <c r="I247" s="185"/>
      <c r="J247" s="752"/>
      <c r="K247" s="752"/>
      <c r="L247" s="185"/>
      <c r="M247" s="185"/>
      <c r="N247" s="185"/>
      <c r="O247" s="185"/>
      <c r="P247" s="185"/>
      <c r="Q247" s="185"/>
      <c r="R247" s="185"/>
      <c r="S247" s="185"/>
      <c r="T247" s="185"/>
    </row>
    <row r="248" spans="1:20">
      <c r="A248" s="185"/>
      <c r="B248" s="661"/>
      <c r="C248" s="185"/>
      <c r="D248" s="185"/>
      <c r="E248" s="185"/>
      <c r="F248" s="185"/>
      <c r="G248" s="186"/>
      <c r="H248" s="185"/>
      <c r="I248" s="185"/>
      <c r="J248" s="752"/>
      <c r="K248" s="752"/>
      <c r="L248" s="185"/>
      <c r="M248" s="185"/>
      <c r="N248" s="185"/>
      <c r="O248" s="185"/>
      <c r="P248" s="185"/>
      <c r="Q248" s="185"/>
      <c r="R248" s="185"/>
      <c r="S248" s="185"/>
      <c r="T248" s="185"/>
    </row>
    <row r="249" spans="1:20">
      <c r="A249" s="185"/>
      <c r="B249" s="661"/>
      <c r="C249" s="185"/>
      <c r="D249" s="185"/>
      <c r="E249" s="185"/>
      <c r="F249" s="185"/>
      <c r="G249" s="186"/>
      <c r="H249" s="185"/>
      <c r="I249" s="185"/>
      <c r="J249" s="752"/>
      <c r="K249" s="752"/>
      <c r="L249" s="185"/>
      <c r="M249" s="185"/>
      <c r="N249" s="185"/>
      <c r="O249" s="185"/>
      <c r="P249" s="185"/>
      <c r="Q249" s="185"/>
      <c r="R249" s="185"/>
      <c r="S249" s="185"/>
      <c r="T249" s="185"/>
    </row>
    <row r="250" spans="1:20">
      <c r="A250" s="185"/>
      <c r="B250" s="661"/>
      <c r="C250" s="185"/>
      <c r="D250" s="185"/>
      <c r="E250" s="185"/>
      <c r="F250" s="185"/>
      <c r="G250" s="186"/>
      <c r="H250" s="185"/>
      <c r="I250" s="185"/>
      <c r="J250" s="752"/>
      <c r="K250" s="752"/>
      <c r="L250" s="185"/>
      <c r="M250" s="185"/>
      <c r="N250" s="185"/>
      <c r="O250" s="185"/>
      <c r="P250" s="185"/>
      <c r="Q250" s="185"/>
      <c r="R250" s="185"/>
      <c r="S250" s="185"/>
      <c r="T250" s="185"/>
    </row>
    <row r="251" spans="1:20">
      <c r="A251" s="185"/>
      <c r="B251" s="661"/>
      <c r="C251" s="185"/>
      <c r="D251" s="185"/>
      <c r="E251" s="185"/>
      <c r="F251" s="185"/>
      <c r="G251" s="186"/>
      <c r="H251" s="185"/>
      <c r="I251" s="185"/>
      <c r="J251" s="752"/>
      <c r="K251" s="752"/>
      <c r="L251" s="185"/>
      <c r="M251" s="185"/>
      <c r="N251" s="185"/>
      <c r="O251" s="185"/>
      <c r="P251" s="185"/>
      <c r="Q251" s="185"/>
      <c r="R251" s="185"/>
      <c r="S251" s="185"/>
      <c r="T251" s="185"/>
    </row>
    <row r="252" spans="1:20">
      <c r="A252" s="185"/>
      <c r="B252" s="661"/>
      <c r="C252" s="185"/>
      <c r="D252" s="185"/>
      <c r="E252" s="185"/>
      <c r="F252" s="185"/>
      <c r="G252" s="186"/>
      <c r="H252" s="185"/>
      <c r="I252" s="185"/>
      <c r="J252" s="752"/>
      <c r="K252" s="752"/>
      <c r="L252" s="185"/>
      <c r="M252" s="185"/>
      <c r="N252" s="185"/>
      <c r="O252" s="185"/>
      <c r="P252" s="185"/>
      <c r="Q252" s="185"/>
      <c r="R252" s="185"/>
      <c r="S252" s="185"/>
      <c r="T252" s="185"/>
    </row>
    <row r="253" spans="1:20">
      <c r="A253" s="185"/>
      <c r="B253" s="661"/>
      <c r="C253" s="185"/>
      <c r="D253" s="185"/>
      <c r="E253" s="185"/>
      <c r="F253" s="185"/>
      <c r="G253" s="186"/>
      <c r="H253" s="185"/>
      <c r="I253" s="185"/>
      <c r="J253" s="752"/>
      <c r="K253" s="752"/>
      <c r="L253" s="185"/>
      <c r="M253" s="185"/>
      <c r="N253" s="185"/>
      <c r="O253" s="185"/>
      <c r="P253" s="185"/>
      <c r="Q253" s="185"/>
      <c r="R253" s="185"/>
      <c r="S253" s="185"/>
      <c r="T253" s="185"/>
    </row>
    <row r="254" spans="1:20">
      <c r="A254" s="185"/>
      <c r="B254" s="661"/>
      <c r="C254" s="185"/>
      <c r="D254" s="185"/>
      <c r="E254" s="185"/>
      <c r="F254" s="185"/>
      <c r="G254" s="186"/>
      <c r="H254" s="185"/>
      <c r="I254" s="185"/>
      <c r="J254" s="752"/>
      <c r="K254" s="752"/>
      <c r="L254" s="185"/>
      <c r="M254" s="185"/>
      <c r="N254" s="185"/>
      <c r="O254" s="185"/>
      <c r="P254" s="185"/>
      <c r="Q254" s="185"/>
      <c r="R254" s="185"/>
      <c r="S254" s="185"/>
      <c r="T254" s="185"/>
    </row>
    <row r="255" spans="1:20">
      <c r="A255" s="185"/>
      <c r="B255" s="661"/>
      <c r="C255" s="185"/>
      <c r="D255" s="185"/>
      <c r="E255" s="185"/>
      <c r="F255" s="185"/>
      <c r="G255" s="186"/>
      <c r="H255" s="185"/>
      <c r="I255" s="185"/>
      <c r="J255" s="752"/>
      <c r="K255" s="752"/>
      <c r="L255" s="185"/>
      <c r="M255" s="185"/>
      <c r="N255" s="185"/>
      <c r="O255" s="185"/>
      <c r="P255" s="185"/>
      <c r="Q255" s="185"/>
      <c r="R255" s="185"/>
      <c r="S255" s="185"/>
      <c r="T255" s="185"/>
    </row>
    <row r="256" spans="1:20">
      <c r="A256" s="185"/>
      <c r="B256" s="661"/>
      <c r="C256" s="185"/>
      <c r="D256" s="185"/>
      <c r="E256" s="185"/>
      <c r="F256" s="185"/>
      <c r="G256" s="186"/>
      <c r="H256" s="185"/>
      <c r="I256" s="185"/>
      <c r="J256" s="752"/>
      <c r="K256" s="752"/>
      <c r="L256" s="185"/>
      <c r="M256" s="185"/>
      <c r="N256" s="185"/>
      <c r="O256" s="185"/>
      <c r="P256" s="185"/>
      <c r="Q256" s="185"/>
      <c r="R256" s="185"/>
      <c r="S256" s="185"/>
      <c r="T256" s="185"/>
    </row>
    <row r="257" spans="1:20">
      <c r="A257" s="185"/>
      <c r="B257" s="661"/>
      <c r="C257" s="185"/>
      <c r="D257" s="185"/>
      <c r="E257" s="185"/>
      <c r="F257" s="185"/>
      <c r="G257" s="186"/>
      <c r="H257" s="185"/>
      <c r="I257" s="185"/>
      <c r="J257" s="752"/>
      <c r="K257" s="752"/>
      <c r="L257" s="185"/>
      <c r="M257" s="185"/>
      <c r="N257" s="185"/>
      <c r="O257" s="185"/>
      <c r="P257" s="185"/>
      <c r="Q257" s="185"/>
      <c r="R257" s="185"/>
      <c r="S257" s="185"/>
      <c r="T257" s="185"/>
    </row>
    <row r="258" spans="1:20">
      <c r="A258" s="185"/>
      <c r="B258" s="661"/>
      <c r="C258" s="185"/>
      <c r="D258" s="185"/>
      <c r="E258" s="185"/>
      <c r="F258" s="185"/>
      <c r="G258" s="186"/>
      <c r="H258" s="185"/>
      <c r="I258" s="185"/>
      <c r="J258" s="752"/>
      <c r="K258" s="752"/>
      <c r="L258" s="185"/>
      <c r="M258" s="185"/>
      <c r="N258" s="185"/>
      <c r="O258" s="185"/>
      <c r="P258" s="185"/>
      <c r="Q258" s="185"/>
      <c r="R258" s="185"/>
      <c r="S258" s="185"/>
      <c r="T258" s="185"/>
    </row>
    <row r="259" spans="1:20">
      <c r="A259" s="185"/>
      <c r="B259" s="661"/>
      <c r="C259" s="185"/>
      <c r="D259" s="185"/>
      <c r="E259" s="185"/>
      <c r="F259" s="185"/>
      <c r="G259" s="186"/>
      <c r="H259" s="185"/>
      <c r="I259" s="185"/>
      <c r="J259" s="752"/>
      <c r="K259" s="752"/>
      <c r="L259" s="185"/>
      <c r="M259" s="185"/>
      <c r="N259" s="185"/>
      <c r="O259" s="185"/>
      <c r="P259" s="185"/>
      <c r="Q259" s="185"/>
      <c r="R259" s="185"/>
      <c r="S259" s="185"/>
      <c r="T259" s="185"/>
    </row>
    <row r="260" spans="1:20">
      <c r="A260" s="185"/>
      <c r="B260" s="661"/>
      <c r="C260" s="185"/>
      <c r="D260" s="185"/>
      <c r="E260" s="185"/>
      <c r="F260" s="185"/>
      <c r="G260" s="186"/>
      <c r="H260" s="185"/>
      <c r="I260" s="185"/>
      <c r="J260" s="752"/>
      <c r="K260" s="752"/>
      <c r="L260" s="185"/>
      <c r="M260" s="185"/>
      <c r="N260" s="185"/>
      <c r="O260" s="185"/>
      <c r="P260" s="185"/>
      <c r="Q260" s="185"/>
      <c r="R260" s="185"/>
      <c r="S260" s="185"/>
      <c r="T260" s="185"/>
    </row>
    <row r="261" spans="1:20">
      <c r="A261" s="185"/>
      <c r="B261" s="661"/>
      <c r="C261" s="185"/>
      <c r="D261" s="185"/>
      <c r="E261" s="185"/>
      <c r="F261" s="185"/>
      <c r="G261" s="186"/>
      <c r="H261" s="185"/>
      <c r="I261" s="185"/>
      <c r="J261" s="752"/>
      <c r="K261" s="752"/>
      <c r="L261" s="185"/>
      <c r="M261" s="185"/>
      <c r="N261" s="185"/>
      <c r="O261" s="185"/>
      <c r="P261" s="185"/>
      <c r="Q261" s="185"/>
      <c r="R261" s="185"/>
      <c r="S261" s="185"/>
      <c r="T261" s="185"/>
    </row>
    <row r="262" spans="1:20">
      <c r="A262" s="185"/>
      <c r="B262" s="661"/>
      <c r="C262" s="185"/>
      <c r="D262" s="185"/>
      <c r="E262" s="185"/>
      <c r="F262" s="185"/>
      <c r="G262" s="186"/>
      <c r="H262" s="185"/>
      <c r="I262" s="185"/>
      <c r="J262" s="752"/>
      <c r="K262" s="752"/>
      <c r="L262" s="185"/>
      <c r="M262" s="185"/>
      <c r="N262" s="185"/>
      <c r="O262" s="185"/>
      <c r="P262" s="185"/>
      <c r="Q262" s="185"/>
      <c r="R262" s="185"/>
      <c r="S262" s="185"/>
      <c r="T262" s="185"/>
    </row>
    <row r="263" spans="1:20">
      <c r="A263" s="185"/>
      <c r="B263" s="661"/>
      <c r="C263" s="185"/>
      <c r="D263" s="185"/>
      <c r="E263" s="185"/>
      <c r="F263" s="185"/>
      <c r="G263" s="186"/>
      <c r="H263" s="185"/>
      <c r="I263" s="185"/>
      <c r="J263" s="752"/>
      <c r="K263" s="752"/>
      <c r="L263" s="185"/>
      <c r="M263" s="185"/>
      <c r="N263" s="185"/>
      <c r="O263" s="185"/>
      <c r="P263" s="185"/>
      <c r="Q263" s="185"/>
      <c r="R263" s="185"/>
      <c r="S263" s="185"/>
      <c r="T263" s="185"/>
    </row>
    <row r="264" spans="1:20">
      <c r="A264" s="185"/>
      <c r="B264" s="661"/>
      <c r="C264" s="185"/>
      <c r="D264" s="185"/>
      <c r="E264" s="185"/>
      <c r="F264" s="185"/>
      <c r="G264" s="186"/>
      <c r="H264" s="185"/>
      <c r="I264" s="185"/>
      <c r="J264" s="752"/>
      <c r="K264" s="752"/>
      <c r="L264" s="185"/>
      <c r="M264" s="185"/>
      <c r="N264" s="185"/>
      <c r="O264" s="185"/>
      <c r="P264" s="185"/>
      <c r="Q264" s="185"/>
      <c r="R264" s="185"/>
      <c r="S264" s="185"/>
      <c r="T264" s="185"/>
    </row>
    <row r="265" spans="1:20">
      <c r="A265" s="185"/>
      <c r="B265" s="661"/>
      <c r="C265" s="185"/>
      <c r="D265" s="185"/>
      <c r="E265" s="185"/>
      <c r="F265" s="185"/>
      <c r="G265" s="186"/>
      <c r="H265" s="185"/>
      <c r="I265" s="185"/>
      <c r="J265" s="752"/>
      <c r="K265" s="752"/>
      <c r="L265" s="185"/>
      <c r="M265" s="185"/>
      <c r="N265" s="185"/>
      <c r="O265" s="185"/>
      <c r="P265" s="185"/>
      <c r="Q265" s="185"/>
      <c r="R265" s="185"/>
      <c r="S265" s="185"/>
      <c r="T265" s="185"/>
    </row>
    <row r="266" spans="1:20">
      <c r="A266" s="185"/>
      <c r="B266" s="661"/>
      <c r="C266" s="185"/>
      <c r="D266" s="185"/>
      <c r="E266" s="185"/>
      <c r="F266" s="185"/>
      <c r="G266" s="186"/>
      <c r="H266" s="185"/>
      <c r="I266" s="185"/>
      <c r="J266" s="752"/>
      <c r="K266" s="752"/>
      <c r="L266" s="185"/>
      <c r="M266" s="185"/>
      <c r="N266" s="185"/>
      <c r="O266" s="185"/>
      <c r="P266" s="185"/>
      <c r="Q266" s="185"/>
      <c r="R266" s="185"/>
      <c r="S266" s="185"/>
      <c r="T266" s="185"/>
    </row>
    <row r="267" spans="1:20">
      <c r="A267" s="185"/>
      <c r="B267" s="661"/>
      <c r="C267" s="185"/>
      <c r="D267" s="185"/>
      <c r="E267" s="185"/>
      <c r="F267" s="185"/>
      <c r="G267" s="186"/>
      <c r="H267" s="185"/>
      <c r="I267" s="185"/>
      <c r="J267" s="752"/>
      <c r="K267" s="752"/>
      <c r="L267" s="185"/>
      <c r="M267" s="185"/>
      <c r="N267" s="185"/>
      <c r="O267" s="185"/>
      <c r="P267" s="185"/>
      <c r="Q267" s="185"/>
      <c r="R267" s="185"/>
      <c r="S267" s="185"/>
      <c r="T267" s="185"/>
    </row>
    <row r="268" spans="1:20">
      <c r="A268" s="185"/>
      <c r="B268" s="661"/>
      <c r="C268" s="185"/>
      <c r="D268" s="185"/>
      <c r="E268" s="185"/>
      <c r="F268" s="185"/>
      <c r="G268" s="186"/>
      <c r="H268" s="185"/>
      <c r="I268" s="185"/>
      <c r="J268" s="752"/>
      <c r="K268" s="752"/>
      <c r="L268" s="185"/>
      <c r="M268" s="185"/>
      <c r="N268" s="185"/>
      <c r="O268" s="185"/>
      <c r="P268" s="185"/>
      <c r="Q268" s="185"/>
      <c r="R268" s="185"/>
      <c r="S268" s="185"/>
      <c r="T268" s="185"/>
    </row>
    <row r="269" spans="1:20">
      <c r="A269" s="185"/>
      <c r="B269" s="661"/>
      <c r="C269" s="185"/>
      <c r="D269" s="185"/>
      <c r="E269" s="185"/>
      <c r="F269" s="185"/>
      <c r="G269" s="186"/>
      <c r="H269" s="185"/>
      <c r="I269" s="185"/>
      <c r="J269" s="752"/>
      <c r="K269" s="752"/>
      <c r="L269" s="185"/>
      <c r="M269" s="185"/>
      <c r="N269" s="185"/>
      <c r="O269" s="185"/>
      <c r="P269" s="185"/>
      <c r="Q269" s="185"/>
      <c r="R269" s="185"/>
      <c r="S269" s="185"/>
      <c r="T269" s="185"/>
    </row>
    <row r="270" spans="1:20">
      <c r="A270" s="185"/>
      <c r="B270" s="661"/>
      <c r="C270" s="185"/>
      <c r="D270" s="185"/>
      <c r="E270" s="185"/>
      <c r="F270" s="185"/>
      <c r="G270" s="186"/>
      <c r="H270" s="185"/>
      <c r="I270" s="185"/>
      <c r="J270" s="752"/>
      <c r="K270" s="752"/>
      <c r="L270" s="185"/>
      <c r="M270" s="185"/>
      <c r="N270" s="185"/>
      <c r="O270" s="185"/>
      <c r="P270" s="185"/>
      <c r="Q270" s="185"/>
      <c r="R270" s="185"/>
      <c r="S270" s="185"/>
      <c r="T270" s="185"/>
    </row>
    <row r="271" spans="1:20">
      <c r="A271" s="185"/>
      <c r="B271" s="661"/>
      <c r="C271" s="185"/>
      <c r="D271" s="185"/>
      <c r="E271" s="185"/>
      <c r="F271" s="185"/>
      <c r="G271" s="186"/>
      <c r="H271" s="185"/>
      <c r="I271" s="185"/>
      <c r="J271" s="752"/>
      <c r="K271" s="752"/>
      <c r="L271" s="185"/>
      <c r="M271" s="185"/>
      <c r="N271" s="185"/>
      <c r="O271" s="185"/>
      <c r="P271" s="185"/>
      <c r="Q271" s="185"/>
      <c r="R271" s="185"/>
      <c r="S271" s="185"/>
      <c r="T271" s="185"/>
    </row>
    <row r="272" spans="1:20">
      <c r="A272" s="185"/>
      <c r="B272" s="661"/>
      <c r="C272" s="185"/>
      <c r="D272" s="185"/>
      <c r="E272" s="185"/>
      <c r="F272" s="185"/>
      <c r="G272" s="186"/>
      <c r="H272" s="185"/>
      <c r="I272" s="185"/>
      <c r="J272" s="752"/>
      <c r="K272" s="752"/>
      <c r="L272" s="185"/>
      <c r="M272" s="185"/>
      <c r="N272" s="185"/>
      <c r="O272" s="185"/>
      <c r="P272" s="185"/>
      <c r="Q272" s="185"/>
      <c r="R272" s="185"/>
      <c r="S272" s="185"/>
      <c r="T272" s="185"/>
    </row>
    <row r="273" spans="1:20">
      <c r="A273" s="185"/>
      <c r="B273" s="661"/>
      <c r="C273" s="185"/>
      <c r="D273" s="185"/>
      <c r="E273" s="185"/>
      <c r="F273" s="185"/>
      <c r="G273" s="186"/>
      <c r="H273" s="185"/>
      <c r="I273" s="185"/>
      <c r="J273" s="752"/>
      <c r="K273" s="752"/>
      <c r="L273" s="185"/>
      <c r="M273" s="185"/>
      <c r="N273" s="185"/>
      <c r="O273" s="185"/>
      <c r="P273" s="185"/>
      <c r="Q273" s="185"/>
      <c r="R273" s="185"/>
      <c r="S273" s="185"/>
      <c r="T273" s="185"/>
    </row>
    <row r="274" spans="1:20">
      <c r="A274" s="185"/>
      <c r="B274" s="661"/>
      <c r="C274" s="185"/>
      <c r="D274" s="185"/>
      <c r="E274" s="185"/>
      <c r="F274" s="185"/>
      <c r="G274" s="186"/>
      <c r="H274" s="185"/>
      <c r="I274" s="185"/>
      <c r="J274" s="752"/>
      <c r="K274" s="752"/>
      <c r="L274" s="185"/>
      <c r="M274" s="185"/>
      <c r="N274" s="185"/>
      <c r="O274" s="185"/>
      <c r="P274" s="185"/>
      <c r="Q274" s="185"/>
      <c r="R274" s="185"/>
      <c r="S274" s="185"/>
      <c r="T274" s="185"/>
    </row>
    <row r="275" spans="1:20">
      <c r="A275" s="185"/>
      <c r="B275" s="661"/>
      <c r="C275" s="185"/>
      <c r="D275" s="185"/>
      <c r="E275" s="185"/>
      <c r="F275" s="185"/>
      <c r="G275" s="186"/>
      <c r="H275" s="185"/>
      <c r="I275" s="185"/>
      <c r="J275" s="752"/>
      <c r="K275" s="752"/>
      <c r="L275" s="185"/>
      <c r="M275" s="185"/>
      <c r="N275" s="185"/>
      <c r="O275" s="185"/>
      <c r="P275" s="185"/>
      <c r="Q275" s="185"/>
      <c r="R275" s="185"/>
      <c r="S275" s="185"/>
      <c r="T275" s="185"/>
    </row>
    <row r="276" spans="1:20">
      <c r="A276" s="185"/>
      <c r="B276" s="661"/>
      <c r="C276" s="185"/>
      <c r="D276" s="185"/>
      <c r="E276" s="185"/>
      <c r="F276" s="185"/>
      <c r="G276" s="186"/>
      <c r="H276" s="185"/>
      <c r="I276" s="185"/>
      <c r="J276" s="752"/>
      <c r="K276" s="752"/>
      <c r="L276" s="185"/>
      <c r="M276" s="185"/>
      <c r="N276" s="185"/>
      <c r="O276" s="185"/>
      <c r="P276" s="185"/>
      <c r="Q276" s="185"/>
      <c r="R276" s="185"/>
      <c r="S276" s="185"/>
      <c r="T276" s="185"/>
    </row>
    <row r="277" spans="1:20">
      <c r="A277" s="185"/>
      <c r="B277" s="661"/>
      <c r="C277" s="185"/>
      <c r="D277" s="185"/>
      <c r="E277" s="185"/>
      <c r="F277" s="185"/>
      <c r="G277" s="186"/>
      <c r="H277" s="185"/>
      <c r="I277" s="185"/>
      <c r="J277" s="752"/>
      <c r="K277" s="752"/>
      <c r="L277" s="185"/>
      <c r="M277" s="185"/>
      <c r="N277" s="185"/>
      <c r="O277" s="185"/>
      <c r="P277" s="185"/>
      <c r="Q277" s="185"/>
      <c r="R277" s="185"/>
      <c r="S277" s="185"/>
      <c r="T277" s="185"/>
    </row>
    <row r="278" spans="1:20">
      <c r="A278" s="185"/>
      <c r="B278" s="661"/>
      <c r="C278" s="185"/>
      <c r="D278" s="185"/>
      <c r="E278" s="185"/>
      <c r="F278" s="185"/>
      <c r="G278" s="186"/>
      <c r="H278" s="185"/>
      <c r="I278" s="185"/>
      <c r="J278" s="752"/>
      <c r="K278" s="752"/>
      <c r="L278" s="185"/>
      <c r="M278" s="185"/>
      <c r="N278" s="185"/>
      <c r="O278" s="185"/>
      <c r="P278" s="185"/>
      <c r="Q278" s="185"/>
      <c r="R278" s="185"/>
      <c r="S278" s="185"/>
      <c r="T278" s="185"/>
    </row>
    <row r="279" spans="1:20">
      <c r="A279" s="185"/>
      <c r="B279" s="661"/>
      <c r="C279" s="185"/>
      <c r="D279" s="185"/>
      <c r="E279" s="185"/>
      <c r="F279" s="185"/>
      <c r="G279" s="186"/>
      <c r="H279" s="185"/>
      <c r="I279" s="185"/>
      <c r="J279" s="752"/>
      <c r="K279" s="752"/>
      <c r="L279" s="185"/>
      <c r="M279" s="185"/>
      <c r="N279" s="185"/>
      <c r="O279" s="185"/>
      <c r="P279" s="185"/>
      <c r="Q279" s="185"/>
      <c r="R279" s="185"/>
      <c r="S279" s="185"/>
      <c r="T279" s="185"/>
    </row>
    <row r="280" spans="1:20">
      <c r="A280" s="185"/>
      <c r="B280" s="661"/>
      <c r="C280" s="185"/>
      <c r="D280" s="185"/>
      <c r="E280" s="185"/>
      <c r="F280" s="185"/>
      <c r="G280" s="186"/>
      <c r="H280" s="185"/>
      <c r="I280" s="185"/>
      <c r="J280" s="752"/>
      <c r="K280" s="752"/>
      <c r="L280" s="185"/>
      <c r="M280" s="185"/>
      <c r="N280" s="185"/>
      <c r="O280" s="185"/>
      <c r="P280" s="185"/>
      <c r="Q280" s="185"/>
      <c r="R280" s="185"/>
      <c r="S280" s="185"/>
      <c r="T280" s="185"/>
    </row>
    <row r="281" spans="1:20">
      <c r="A281" s="185"/>
      <c r="B281" s="661"/>
      <c r="C281" s="185"/>
      <c r="D281" s="185"/>
      <c r="E281" s="185"/>
      <c r="F281" s="185"/>
      <c r="G281" s="186"/>
      <c r="H281" s="185"/>
      <c r="I281" s="185"/>
      <c r="J281" s="752"/>
      <c r="K281" s="752"/>
      <c r="L281" s="185"/>
      <c r="M281" s="185"/>
      <c r="N281" s="185"/>
      <c r="O281" s="185"/>
      <c r="P281" s="185"/>
      <c r="Q281" s="185"/>
      <c r="R281" s="185"/>
      <c r="S281" s="185"/>
      <c r="T281" s="185"/>
    </row>
    <row r="282" spans="1:20">
      <c r="A282" s="185"/>
      <c r="B282" s="661"/>
      <c r="C282" s="185"/>
      <c r="D282" s="185"/>
      <c r="E282" s="185"/>
      <c r="F282" s="185"/>
      <c r="G282" s="186"/>
      <c r="H282" s="185"/>
      <c r="I282" s="185"/>
      <c r="J282" s="752"/>
      <c r="K282" s="752"/>
      <c r="L282" s="185"/>
      <c r="M282" s="185"/>
      <c r="N282" s="185"/>
      <c r="O282" s="185"/>
      <c r="P282" s="185"/>
      <c r="Q282" s="185"/>
      <c r="R282" s="185"/>
      <c r="S282" s="185"/>
      <c r="T282" s="185"/>
    </row>
    <row r="283" spans="1:20">
      <c r="A283" s="185"/>
      <c r="B283" s="661"/>
      <c r="C283" s="185"/>
      <c r="D283" s="185"/>
      <c r="E283" s="185"/>
      <c r="F283" s="185"/>
      <c r="G283" s="186"/>
      <c r="H283" s="185"/>
      <c r="I283" s="185"/>
      <c r="J283" s="752"/>
      <c r="K283" s="752"/>
      <c r="L283" s="185"/>
      <c r="M283" s="185"/>
      <c r="N283" s="185"/>
      <c r="O283" s="185"/>
      <c r="P283" s="185"/>
      <c r="Q283" s="185"/>
      <c r="R283" s="185"/>
      <c r="S283" s="185"/>
      <c r="T283" s="185"/>
    </row>
    <row r="284" spans="1:20">
      <c r="A284" s="185"/>
      <c r="B284" s="661"/>
      <c r="C284" s="185"/>
      <c r="D284" s="185"/>
      <c r="E284" s="185"/>
      <c r="F284" s="185"/>
      <c r="G284" s="186"/>
      <c r="H284" s="185"/>
      <c r="I284" s="185"/>
      <c r="J284" s="752"/>
      <c r="K284" s="752"/>
      <c r="L284" s="185"/>
      <c r="M284" s="185"/>
      <c r="N284" s="185"/>
      <c r="O284" s="185"/>
      <c r="P284" s="185"/>
      <c r="Q284" s="185"/>
      <c r="R284" s="185"/>
      <c r="S284" s="185"/>
      <c r="T284" s="185"/>
    </row>
    <row r="285" spans="1:20">
      <c r="A285" s="185"/>
      <c r="B285" s="661"/>
      <c r="C285" s="185"/>
      <c r="D285" s="185"/>
      <c r="E285" s="185"/>
      <c r="F285" s="185"/>
      <c r="G285" s="186"/>
      <c r="H285" s="185"/>
      <c r="I285" s="185"/>
      <c r="J285" s="752"/>
      <c r="K285" s="752"/>
      <c r="L285" s="185"/>
      <c r="M285" s="185"/>
      <c r="N285" s="185"/>
      <c r="O285" s="185"/>
      <c r="P285" s="185"/>
      <c r="Q285" s="185"/>
      <c r="R285" s="185"/>
      <c r="S285" s="185"/>
      <c r="T285" s="185"/>
    </row>
    <row r="286" spans="1:20">
      <c r="A286" s="185"/>
      <c r="B286" s="661"/>
      <c r="C286" s="185"/>
      <c r="D286" s="185"/>
      <c r="E286" s="185"/>
      <c r="F286" s="185"/>
      <c r="G286" s="186"/>
      <c r="H286" s="185"/>
      <c r="I286" s="185"/>
      <c r="J286" s="752"/>
      <c r="K286" s="752"/>
      <c r="L286" s="185"/>
      <c r="M286" s="185"/>
      <c r="N286" s="185"/>
      <c r="O286" s="185"/>
      <c r="P286" s="185"/>
      <c r="Q286" s="185"/>
      <c r="R286" s="185"/>
      <c r="S286" s="185"/>
      <c r="T286" s="185"/>
    </row>
    <row r="287" spans="1:20">
      <c r="A287" s="185"/>
      <c r="B287" s="661"/>
      <c r="C287" s="185"/>
      <c r="D287" s="185"/>
      <c r="E287" s="185"/>
      <c r="F287" s="185"/>
      <c r="G287" s="186"/>
      <c r="H287" s="185"/>
      <c r="I287" s="185"/>
      <c r="J287" s="752"/>
      <c r="K287" s="752"/>
      <c r="L287" s="185"/>
      <c r="M287" s="185"/>
      <c r="N287" s="185"/>
      <c r="O287" s="185"/>
      <c r="P287" s="185"/>
      <c r="Q287" s="185"/>
      <c r="R287" s="185"/>
      <c r="S287" s="185"/>
      <c r="T287" s="185"/>
    </row>
    <row r="288" spans="1:20">
      <c r="A288" s="185"/>
      <c r="B288" s="661"/>
      <c r="C288" s="185"/>
      <c r="D288" s="185"/>
      <c r="E288" s="185"/>
      <c r="F288" s="185"/>
      <c r="G288" s="186"/>
      <c r="H288" s="185"/>
      <c r="I288" s="185"/>
      <c r="J288" s="752"/>
      <c r="K288" s="752"/>
      <c r="L288" s="185"/>
      <c r="M288" s="185"/>
      <c r="N288" s="185"/>
      <c r="O288" s="185"/>
      <c r="P288" s="185"/>
      <c r="Q288" s="185"/>
      <c r="R288" s="185"/>
      <c r="S288" s="185"/>
      <c r="T288" s="185"/>
    </row>
    <row r="289" spans="1:20">
      <c r="A289" s="185"/>
      <c r="B289" s="661"/>
      <c r="C289" s="185"/>
      <c r="D289" s="185"/>
      <c r="E289" s="185"/>
      <c r="F289" s="185"/>
      <c r="G289" s="186"/>
      <c r="H289" s="185"/>
      <c r="I289" s="185"/>
      <c r="J289" s="752"/>
      <c r="K289" s="752"/>
      <c r="L289" s="185"/>
      <c r="M289" s="185"/>
      <c r="N289" s="185"/>
      <c r="O289" s="185"/>
      <c r="P289" s="185"/>
      <c r="Q289" s="185"/>
      <c r="R289" s="185"/>
      <c r="S289" s="185"/>
      <c r="T289" s="185"/>
    </row>
    <row r="290" spans="1:20">
      <c r="A290" s="185"/>
      <c r="B290" s="661"/>
      <c r="C290" s="185"/>
      <c r="D290" s="185"/>
      <c r="E290" s="185"/>
      <c r="F290" s="185"/>
      <c r="G290" s="186"/>
      <c r="H290" s="185"/>
      <c r="I290" s="185"/>
      <c r="J290" s="752"/>
      <c r="K290" s="752"/>
      <c r="L290" s="185"/>
      <c r="M290" s="185"/>
      <c r="N290" s="185"/>
      <c r="O290" s="185"/>
      <c r="P290" s="185"/>
      <c r="Q290" s="185"/>
      <c r="R290" s="185"/>
      <c r="S290" s="185"/>
      <c r="T290" s="185"/>
    </row>
    <row r="291" spans="1:20">
      <c r="A291" s="185"/>
      <c r="B291" s="661"/>
      <c r="C291" s="185"/>
      <c r="D291" s="185"/>
      <c r="E291" s="185"/>
      <c r="F291" s="185"/>
      <c r="G291" s="186"/>
      <c r="H291" s="185"/>
      <c r="I291" s="185"/>
      <c r="J291" s="752"/>
      <c r="K291" s="752"/>
      <c r="L291" s="185"/>
      <c r="M291" s="185"/>
      <c r="N291" s="185"/>
      <c r="O291" s="185"/>
      <c r="P291" s="185"/>
      <c r="Q291" s="185"/>
      <c r="R291" s="185"/>
      <c r="S291" s="185"/>
      <c r="T291" s="185"/>
    </row>
    <row r="292" spans="1:20">
      <c r="A292" s="185"/>
      <c r="B292" s="661"/>
      <c r="C292" s="185"/>
      <c r="D292" s="185"/>
      <c r="E292" s="185"/>
      <c r="F292" s="185"/>
      <c r="G292" s="186"/>
      <c r="H292" s="185"/>
      <c r="I292" s="185"/>
      <c r="J292" s="752"/>
      <c r="K292" s="752"/>
      <c r="L292" s="185"/>
      <c r="M292" s="185"/>
      <c r="N292" s="185"/>
      <c r="O292" s="185"/>
      <c r="P292" s="185"/>
      <c r="Q292" s="185"/>
      <c r="R292" s="185"/>
      <c r="S292" s="185"/>
      <c r="T292" s="185"/>
    </row>
    <row r="293" spans="1:20">
      <c r="A293" s="185"/>
      <c r="B293" s="661"/>
      <c r="C293" s="185"/>
      <c r="D293" s="185"/>
      <c r="E293" s="185"/>
      <c r="F293" s="185"/>
      <c r="G293" s="186"/>
      <c r="H293" s="185"/>
      <c r="I293" s="185"/>
      <c r="J293" s="752"/>
      <c r="K293" s="752"/>
      <c r="L293" s="185"/>
      <c r="M293" s="185"/>
      <c r="N293" s="185"/>
      <c r="O293" s="185"/>
      <c r="P293" s="185"/>
      <c r="Q293" s="185"/>
      <c r="R293" s="185"/>
      <c r="S293" s="185"/>
      <c r="T293" s="185"/>
    </row>
    <row r="294" spans="1:20">
      <c r="A294" s="185"/>
      <c r="B294" s="661"/>
      <c r="C294" s="185"/>
      <c r="D294" s="185"/>
      <c r="E294" s="185"/>
      <c r="F294" s="185"/>
      <c r="G294" s="186"/>
      <c r="H294" s="185"/>
      <c r="I294" s="185"/>
      <c r="J294" s="752"/>
      <c r="K294" s="752"/>
      <c r="L294" s="185"/>
      <c r="M294" s="185"/>
      <c r="N294" s="185"/>
      <c r="O294" s="185"/>
      <c r="P294" s="185"/>
      <c r="Q294" s="185"/>
      <c r="R294" s="185"/>
      <c r="S294" s="185"/>
      <c r="T294" s="185"/>
    </row>
    <row r="295" spans="1:20">
      <c r="A295" s="185"/>
      <c r="B295" s="661"/>
      <c r="C295" s="185"/>
      <c r="D295" s="185"/>
      <c r="E295" s="185"/>
      <c r="F295" s="185"/>
      <c r="G295" s="186"/>
      <c r="H295" s="185"/>
      <c r="I295" s="185"/>
      <c r="J295" s="752"/>
      <c r="K295" s="752"/>
      <c r="L295" s="185"/>
      <c r="M295" s="185"/>
      <c r="N295" s="185"/>
      <c r="O295" s="185"/>
      <c r="P295" s="185"/>
      <c r="Q295" s="185"/>
      <c r="R295" s="185"/>
      <c r="S295" s="185"/>
      <c r="T295" s="185"/>
    </row>
    <row r="296" spans="1:20">
      <c r="A296" s="185"/>
      <c r="B296" s="661"/>
      <c r="C296" s="185"/>
      <c r="D296" s="185"/>
      <c r="E296" s="185"/>
      <c r="F296" s="185"/>
      <c r="G296" s="186"/>
      <c r="H296" s="185"/>
      <c r="I296" s="185"/>
      <c r="J296" s="752"/>
      <c r="K296" s="752"/>
      <c r="L296" s="185"/>
      <c r="M296" s="185"/>
      <c r="N296" s="185"/>
      <c r="O296" s="185"/>
      <c r="P296" s="185"/>
      <c r="Q296" s="185"/>
      <c r="R296" s="185"/>
      <c r="S296" s="185"/>
      <c r="T296" s="185"/>
    </row>
    <row r="297" spans="1:20">
      <c r="A297" s="185"/>
      <c r="B297" s="661"/>
      <c r="C297" s="185"/>
      <c r="D297" s="185"/>
      <c r="E297" s="185"/>
      <c r="F297" s="185"/>
      <c r="G297" s="186"/>
      <c r="H297" s="185"/>
      <c r="I297" s="185"/>
      <c r="J297" s="752"/>
      <c r="K297" s="752"/>
      <c r="L297" s="185"/>
      <c r="M297" s="185"/>
      <c r="N297" s="185"/>
      <c r="O297" s="185"/>
      <c r="P297" s="185"/>
      <c r="Q297" s="185"/>
      <c r="R297" s="185"/>
      <c r="S297" s="185"/>
      <c r="T297" s="185"/>
    </row>
    <row r="298" spans="1:20">
      <c r="A298" s="185"/>
      <c r="B298" s="661"/>
      <c r="C298" s="185"/>
      <c r="D298" s="185"/>
      <c r="E298" s="185"/>
      <c r="F298" s="185"/>
      <c r="G298" s="186"/>
      <c r="H298" s="185"/>
      <c r="I298" s="185"/>
      <c r="J298" s="752"/>
      <c r="K298" s="752"/>
      <c r="L298" s="185"/>
      <c r="M298" s="185"/>
      <c r="N298" s="185"/>
      <c r="O298" s="185"/>
      <c r="P298" s="185"/>
      <c r="Q298" s="185"/>
      <c r="R298" s="185"/>
      <c r="S298" s="185"/>
      <c r="T298" s="185"/>
    </row>
    <row r="299" spans="1:20">
      <c r="A299" s="185"/>
      <c r="B299" s="661"/>
      <c r="C299" s="185"/>
      <c r="D299" s="185"/>
      <c r="E299" s="185"/>
      <c r="F299" s="185"/>
      <c r="G299" s="186"/>
      <c r="H299" s="185"/>
      <c r="I299" s="185"/>
      <c r="J299" s="752"/>
      <c r="K299" s="752"/>
      <c r="L299" s="185"/>
      <c r="M299" s="185"/>
      <c r="N299" s="185"/>
      <c r="O299" s="185"/>
      <c r="P299" s="185"/>
      <c r="Q299" s="185"/>
      <c r="R299" s="185"/>
      <c r="S299" s="185"/>
      <c r="T299" s="185"/>
    </row>
    <row r="300" spans="1:20">
      <c r="A300" s="185"/>
      <c r="B300" s="661"/>
      <c r="C300" s="185"/>
      <c r="D300" s="185"/>
      <c r="E300" s="185"/>
      <c r="F300" s="185"/>
      <c r="G300" s="186"/>
      <c r="H300" s="185"/>
      <c r="I300" s="185"/>
      <c r="J300" s="752"/>
      <c r="K300" s="752"/>
      <c r="L300" s="185"/>
      <c r="M300" s="185"/>
      <c r="N300" s="185"/>
      <c r="O300" s="185"/>
      <c r="P300" s="185"/>
      <c r="Q300" s="185"/>
      <c r="R300" s="185"/>
      <c r="S300" s="185"/>
      <c r="T300" s="185"/>
    </row>
    <row r="301" spans="1:20">
      <c r="A301" s="185"/>
      <c r="B301" s="661"/>
      <c r="C301" s="185"/>
      <c r="D301" s="185"/>
      <c r="E301" s="185"/>
      <c r="F301" s="185"/>
      <c r="G301" s="186"/>
      <c r="H301" s="185"/>
      <c r="I301" s="185"/>
      <c r="J301" s="752"/>
      <c r="K301" s="752"/>
      <c r="L301" s="185"/>
      <c r="M301" s="185"/>
      <c r="N301" s="185"/>
      <c r="O301" s="185"/>
      <c r="P301" s="185"/>
      <c r="Q301" s="185"/>
      <c r="R301" s="185"/>
      <c r="S301" s="185"/>
      <c r="T301" s="185"/>
    </row>
    <row r="302" spans="1:20">
      <c r="A302" s="185"/>
      <c r="B302" s="661"/>
      <c r="C302" s="185"/>
      <c r="D302" s="185"/>
      <c r="E302" s="185"/>
      <c r="F302" s="185"/>
      <c r="G302" s="186"/>
      <c r="H302" s="185"/>
      <c r="I302" s="185"/>
      <c r="J302" s="752"/>
      <c r="K302" s="752"/>
      <c r="L302" s="185"/>
      <c r="M302" s="185"/>
      <c r="N302" s="185"/>
      <c r="O302" s="185"/>
      <c r="P302" s="185"/>
      <c r="Q302" s="185"/>
      <c r="R302" s="185"/>
      <c r="S302" s="185"/>
      <c r="T302" s="185"/>
    </row>
    <row r="303" spans="1:20">
      <c r="A303" s="185"/>
      <c r="B303" s="661"/>
      <c r="C303" s="185"/>
      <c r="D303" s="185"/>
      <c r="E303" s="185"/>
      <c r="F303" s="185"/>
      <c r="G303" s="186"/>
      <c r="H303" s="185"/>
      <c r="I303" s="185"/>
      <c r="J303" s="752"/>
      <c r="K303" s="752"/>
      <c r="L303" s="185"/>
      <c r="M303" s="185"/>
      <c r="N303" s="185"/>
      <c r="O303" s="185"/>
      <c r="P303" s="185"/>
      <c r="Q303" s="185"/>
      <c r="R303" s="185"/>
      <c r="S303" s="185"/>
      <c r="T303" s="185"/>
    </row>
    <row r="304" spans="1:20">
      <c r="A304" s="185"/>
      <c r="B304" s="661"/>
      <c r="C304" s="185"/>
      <c r="D304" s="185"/>
      <c r="E304" s="185"/>
      <c r="F304" s="185"/>
      <c r="G304" s="186"/>
      <c r="H304" s="185"/>
      <c r="I304" s="185"/>
      <c r="J304" s="752"/>
      <c r="K304" s="752"/>
      <c r="L304" s="185"/>
      <c r="M304" s="185"/>
      <c r="N304" s="185"/>
      <c r="O304" s="185"/>
      <c r="P304" s="185"/>
      <c r="Q304" s="185"/>
      <c r="R304" s="185"/>
      <c r="S304" s="185"/>
      <c r="T304" s="185"/>
    </row>
    <row r="305" spans="1:20">
      <c r="A305" s="185"/>
      <c r="B305" s="661"/>
      <c r="C305" s="185"/>
      <c r="D305" s="185"/>
      <c r="E305" s="185"/>
      <c r="F305" s="185"/>
      <c r="G305" s="186"/>
      <c r="H305" s="185"/>
      <c r="I305" s="185"/>
      <c r="J305" s="752"/>
      <c r="K305" s="752"/>
      <c r="L305" s="185"/>
      <c r="M305" s="185"/>
      <c r="N305" s="185"/>
      <c r="O305" s="185"/>
      <c r="P305" s="185"/>
      <c r="Q305" s="185"/>
      <c r="R305" s="185"/>
      <c r="S305" s="185"/>
      <c r="T305" s="185"/>
    </row>
    <row r="306" spans="1:20">
      <c r="A306" s="185"/>
      <c r="B306" s="661"/>
      <c r="C306" s="185"/>
      <c r="D306" s="185"/>
      <c r="E306" s="185"/>
      <c r="F306" s="185"/>
      <c r="G306" s="186"/>
      <c r="H306" s="185"/>
      <c r="I306" s="185"/>
      <c r="J306" s="752"/>
      <c r="K306" s="752"/>
      <c r="L306" s="185"/>
      <c r="M306" s="185"/>
      <c r="N306" s="185"/>
      <c r="O306" s="185"/>
      <c r="P306" s="185"/>
      <c r="Q306" s="185"/>
      <c r="R306" s="185"/>
      <c r="S306" s="185"/>
      <c r="T306" s="185"/>
    </row>
    <row r="307" spans="1:20">
      <c r="A307" s="185"/>
      <c r="B307" s="661"/>
      <c r="C307" s="185"/>
      <c r="D307" s="185"/>
      <c r="E307" s="185"/>
      <c r="F307" s="185"/>
      <c r="G307" s="186"/>
      <c r="H307" s="185"/>
      <c r="I307" s="185"/>
      <c r="J307" s="752"/>
      <c r="K307" s="752"/>
      <c r="L307" s="185"/>
      <c r="M307" s="185"/>
      <c r="N307" s="185"/>
      <c r="O307" s="185"/>
      <c r="P307" s="185"/>
      <c r="Q307" s="185"/>
      <c r="R307" s="185"/>
      <c r="S307" s="185"/>
      <c r="T307" s="185"/>
    </row>
    <row r="308" spans="1:20">
      <c r="A308" s="185"/>
      <c r="B308" s="661"/>
      <c r="C308" s="185"/>
      <c r="D308" s="185"/>
      <c r="E308" s="185"/>
      <c r="F308" s="185"/>
      <c r="G308" s="186"/>
      <c r="H308" s="185"/>
      <c r="I308" s="185"/>
      <c r="J308" s="752"/>
      <c r="K308" s="752"/>
      <c r="L308" s="185"/>
      <c r="M308" s="185"/>
      <c r="N308" s="185"/>
      <c r="O308" s="185"/>
      <c r="P308" s="185"/>
      <c r="Q308" s="185"/>
      <c r="R308" s="185"/>
      <c r="S308" s="185"/>
      <c r="T308" s="185"/>
    </row>
    <row r="309" spans="1:20">
      <c r="A309" s="185"/>
      <c r="B309" s="661"/>
      <c r="C309" s="185"/>
      <c r="D309" s="185"/>
      <c r="E309" s="185"/>
      <c r="F309" s="185"/>
      <c r="G309" s="186"/>
      <c r="H309" s="185"/>
      <c r="I309" s="185"/>
      <c r="J309" s="752"/>
      <c r="K309" s="752"/>
      <c r="L309" s="185"/>
      <c r="M309" s="185"/>
      <c r="N309" s="185"/>
      <c r="O309" s="185"/>
      <c r="P309" s="185"/>
      <c r="Q309" s="185"/>
      <c r="R309" s="185"/>
      <c r="S309" s="185"/>
      <c r="T309" s="185"/>
    </row>
    <row r="310" spans="1:20">
      <c r="A310" s="185"/>
      <c r="B310" s="661"/>
      <c r="C310" s="185"/>
      <c r="D310" s="185"/>
      <c r="E310" s="185"/>
      <c r="F310" s="185"/>
      <c r="G310" s="186"/>
      <c r="H310" s="185"/>
      <c r="I310" s="185"/>
      <c r="J310" s="752"/>
      <c r="K310" s="752"/>
      <c r="L310" s="185"/>
      <c r="M310" s="185"/>
      <c r="N310" s="185"/>
      <c r="O310" s="185"/>
      <c r="P310" s="185"/>
      <c r="Q310" s="185"/>
      <c r="R310" s="185"/>
      <c r="S310" s="185"/>
      <c r="T310" s="185"/>
    </row>
    <row r="311" spans="1:20">
      <c r="A311" s="185"/>
      <c r="B311" s="661"/>
      <c r="C311" s="185"/>
      <c r="D311" s="185"/>
      <c r="E311" s="185"/>
      <c r="F311" s="185"/>
      <c r="G311" s="186"/>
      <c r="H311" s="185"/>
      <c r="I311" s="185"/>
      <c r="J311" s="752"/>
      <c r="K311" s="752"/>
      <c r="L311" s="185"/>
      <c r="M311" s="185"/>
      <c r="N311" s="185"/>
      <c r="O311" s="185"/>
      <c r="P311" s="185"/>
      <c r="Q311" s="185"/>
      <c r="R311" s="185"/>
      <c r="S311" s="185"/>
      <c r="T311" s="185"/>
    </row>
    <row r="312" spans="1:20">
      <c r="A312" s="185"/>
      <c r="B312" s="661"/>
      <c r="C312" s="185"/>
      <c r="D312" s="185"/>
      <c r="E312" s="185"/>
      <c r="F312" s="185"/>
      <c r="G312" s="186"/>
      <c r="H312" s="185"/>
      <c r="I312" s="185"/>
      <c r="J312" s="752"/>
      <c r="K312" s="752"/>
      <c r="L312" s="185"/>
      <c r="M312" s="185"/>
      <c r="N312" s="185"/>
      <c r="O312" s="185"/>
      <c r="P312" s="185"/>
      <c r="Q312" s="185"/>
      <c r="R312" s="185"/>
      <c r="S312" s="185"/>
      <c r="T312" s="185"/>
    </row>
    <row r="313" spans="1:20">
      <c r="A313" s="185"/>
      <c r="B313" s="661"/>
      <c r="C313" s="185"/>
      <c r="D313" s="185"/>
      <c r="E313" s="185"/>
      <c r="F313" s="185"/>
      <c r="G313" s="186"/>
      <c r="H313" s="185"/>
      <c r="I313" s="185"/>
      <c r="J313" s="752"/>
      <c r="K313" s="752"/>
      <c r="L313" s="185"/>
      <c r="M313" s="185"/>
      <c r="N313" s="185"/>
      <c r="O313" s="185"/>
      <c r="P313" s="185"/>
      <c r="Q313" s="185"/>
      <c r="R313" s="185"/>
      <c r="S313" s="185"/>
      <c r="T313" s="185"/>
    </row>
    <row r="314" spans="1:20">
      <c r="A314" s="185"/>
      <c r="B314" s="661"/>
      <c r="C314" s="185"/>
      <c r="D314" s="185"/>
      <c r="E314" s="185"/>
      <c r="F314" s="185"/>
      <c r="G314" s="186"/>
      <c r="H314" s="185"/>
      <c r="I314" s="185"/>
      <c r="J314" s="752"/>
      <c r="K314" s="752"/>
      <c r="L314" s="185"/>
      <c r="M314" s="185"/>
      <c r="N314" s="185"/>
      <c r="O314" s="185"/>
      <c r="P314" s="185"/>
      <c r="Q314" s="185"/>
      <c r="R314" s="185"/>
      <c r="S314" s="185"/>
      <c r="T314" s="185"/>
    </row>
    <row r="315" spans="1:20">
      <c r="A315" s="185"/>
      <c r="B315" s="661"/>
      <c r="C315" s="185"/>
      <c r="D315" s="185"/>
      <c r="E315" s="185"/>
      <c r="F315" s="185"/>
      <c r="G315" s="186"/>
      <c r="H315" s="185"/>
      <c r="I315" s="185"/>
      <c r="J315" s="752"/>
      <c r="K315" s="752"/>
      <c r="L315" s="185"/>
      <c r="M315" s="185"/>
      <c r="N315" s="185"/>
      <c r="O315" s="185"/>
      <c r="P315" s="185"/>
      <c r="Q315" s="185"/>
      <c r="R315" s="185"/>
      <c r="S315" s="185"/>
      <c r="T315" s="185"/>
    </row>
    <row r="316" spans="1:20">
      <c r="A316" s="185"/>
      <c r="B316" s="661"/>
      <c r="C316" s="185"/>
      <c r="D316" s="185"/>
      <c r="E316" s="185"/>
      <c r="F316" s="185"/>
      <c r="G316" s="186"/>
      <c r="H316" s="185"/>
      <c r="I316" s="185"/>
      <c r="J316" s="752"/>
      <c r="K316" s="752"/>
      <c r="L316" s="185"/>
      <c r="M316" s="185"/>
      <c r="N316" s="185"/>
      <c r="O316" s="185"/>
      <c r="P316" s="185"/>
      <c r="Q316" s="185"/>
      <c r="R316" s="185"/>
      <c r="S316" s="185"/>
      <c r="T316" s="185"/>
    </row>
    <row r="317" spans="1:20">
      <c r="A317" s="185"/>
      <c r="B317" s="661"/>
      <c r="C317" s="185"/>
      <c r="D317" s="185"/>
      <c r="E317" s="185"/>
      <c r="F317" s="185"/>
      <c r="G317" s="186"/>
      <c r="H317" s="185"/>
      <c r="I317" s="185"/>
      <c r="J317" s="752"/>
      <c r="K317" s="752"/>
      <c r="L317" s="185"/>
      <c r="M317" s="185"/>
      <c r="N317" s="185"/>
      <c r="O317" s="185"/>
      <c r="P317" s="185"/>
      <c r="Q317" s="185"/>
      <c r="R317" s="185"/>
      <c r="S317" s="185"/>
      <c r="T317" s="185"/>
    </row>
    <row r="318" spans="1:20">
      <c r="A318" s="185"/>
      <c r="B318" s="661"/>
      <c r="C318" s="185"/>
      <c r="D318" s="185"/>
      <c r="E318" s="185"/>
      <c r="F318" s="185"/>
      <c r="G318" s="186"/>
      <c r="H318" s="185"/>
      <c r="I318" s="185"/>
      <c r="J318" s="752"/>
      <c r="K318" s="752"/>
      <c r="L318" s="185"/>
      <c r="M318" s="185"/>
      <c r="N318" s="185"/>
      <c r="O318" s="185"/>
      <c r="P318" s="185"/>
      <c r="Q318" s="185"/>
      <c r="R318" s="185"/>
      <c r="S318" s="185"/>
      <c r="T318" s="185"/>
    </row>
    <row r="319" spans="1:20">
      <c r="A319" s="185"/>
      <c r="B319" s="661"/>
      <c r="C319" s="185"/>
      <c r="D319" s="185"/>
      <c r="E319" s="185"/>
      <c r="F319" s="185"/>
      <c r="G319" s="186"/>
      <c r="H319" s="185"/>
      <c r="I319" s="185"/>
      <c r="J319" s="752"/>
      <c r="K319" s="752"/>
      <c r="L319" s="185"/>
      <c r="M319" s="185"/>
      <c r="N319" s="185"/>
      <c r="O319" s="185"/>
      <c r="P319" s="185"/>
      <c r="Q319" s="185"/>
      <c r="R319" s="185"/>
      <c r="S319" s="185"/>
      <c r="T319" s="185"/>
    </row>
    <row r="320" spans="1:20">
      <c r="A320" s="185"/>
      <c r="B320" s="661"/>
      <c r="C320" s="185"/>
      <c r="D320" s="185"/>
      <c r="E320" s="185"/>
      <c r="F320" s="185"/>
      <c r="G320" s="186"/>
      <c r="H320" s="185"/>
      <c r="I320" s="185"/>
      <c r="J320" s="752"/>
      <c r="K320" s="752"/>
      <c r="L320" s="185"/>
      <c r="M320" s="185"/>
      <c r="N320" s="185"/>
      <c r="O320" s="185"/>
      <c r="P320" s="185"/>
      <c r="Q320" s="185"/>
      <c r="R320" s="185"/>
      <c r="S320" s="185"/>
      <c r="T320" s="185"/>
    </row>
    <row r="321" spans="1:20">
      <c r="A321" s="185"/>
      <c r="B321" s="661"/>
      <c r="C321" s="185"/>
      <c r="D321" s="185"/>
      <c r="E321" s="185"/>
      <c r="F321" s="185"/>
      <c r="G321" s="186"/>
      <c r="H321" s="185"/>
      <c r="I321" s="185"/>
      <c r="J321" s="752"/>
      <c r="K321" s="752"/>
      <c r="L321" s="185"/>
      <c r="M321" s="185"/>
      <c r="N321" s="185"/>
      <c r="O321" s="185"/>
      <c r="P321" s="185"/>
      <c r="Q321" s="185"/>
      <c r="R321" s="185"/>
      <c r="S321" s="185"/>
      <c r="T321" s="185"/>
    </row>
    <row r="322" spans="1:20">
      <c r="A322" s="185"/>
      <c r="B322" s="661"/>
      <c r="C322" s="185"/>
      <c r="D322" s="185"/>
      <c r="E322" s="185"/>
      <c r="F322" s="185"/>
      <c r="G322" s="186"/>
      <c r="H322" s="185"/>
      <c r="I322" s="185"/>
      <c r="J322" s="752"/>
      <c r="K322" s="752"/>
      <c r="L322" s="185"/>
      <c r="M322" s="185"/>
      <c r="N322" s="185"/>
      <c r="O322" s="185"/>
      <c r="P322" s="185"/>
      <c r="Q322" s="185"/>
      <c r="R322" s="185"/>
      <c r="S322" s="185"/>
      <c r="T322" s="185"/>
    </row>
    <row r="323" spans="1:20">
      <c r="A323" s="185"/>
      <c r="B323" s="661"/>
      <c r="C323" s="185"/>
      <c r="D323" s="185"/>
      <c r="E323" s="185"/>
      <c r="F323" s="185"/>
      <c r="G323" s="186"/>
      <c r="H323" s="185"/>
      <c r="I323" s="185"/>
      <c r="J323" s="752"/>
      <c r="K323" s="752"/>
      <c r="L323" s="185"/>
      <c r="M323" s="185"/>
      <c r="N323" s="185"/>
      <c r="O323" s="185"/>
      <c r="P323" s="185"/>
      <c r="Q323" s="185"/>
      <c r="R323" s="185"/>
      <c r="S323" s="185"/>
      <c r="T323" s="185"/>
    </row>
    <row r="324" spans="1:20">
      <c r="A324" s="185"/>
      <c r="B324" s="661"/>
      <c r="C324" s="185"/>
      <c r="D324" s="185"/>
      <c r="E324" s="185"/>
      <c r="F324" s="185"/>
      <c r="G324" s="186"/>
      <c r="H324" s="185"/>
      <c r="I324" s="185"/>
      <c r="J324" s="752"/>
      <c r="K324" s="752"/>
      <c r="L324" s="185"/>
      <c r="M324" s="185"/>
      <c r="N324" s="185"/>
      <c r="O324" s="185"/>
      <c r="P324" s="185"/>
      <c r="Q324" s="185"/>
      <c r="R324" s="185"/>
      <c r="S324" s="185"/>
      <c r="T324" s="185"/>
    </row>
    <row r="325" spans="1:20">
      <c r="A325" s="185"/>
      <c r="B325" s="661"/>
      <c r="C325" s="185"/>
      <c r="D325" s="185"/>
      <c r="E325" s="185"/>
      <c r="F325" s="185"/>
      <c r="G325" s="186"/>
      <c r="H325" s="185"/>
      <c r="I325" s="185"/>
      <c r="J325" s="752"/>
      <c r="K325" s="752"/>
      <c r="L325" s="185"/>
      <c r="M325" s="185"/>
      <c r="N325" s="185"/>
      <c r="O325" s="185"/>
      <c r="P325" s="185"/>
      <c r="Q325" s="185"/>
      <c r="R325" s="185"/>
      <c r="S325" s="185"/>
      <c r="T325" s="185"/>
    </row>
    <row r="326" spans="1:20">
      <c r="A326" s="185"/>
      <c r="B326" s="661"/>
      <c r="C326" s="185"/>
      <c r="D326" s="185"/>
      <c r="E326" s="185"/>
      <c r="F326" s="185"/>
      <c r="G326" s="186"/>
      <c r="H326" s="185"/>
      <c r="I326" s="185"/>
      <c r="J326" s="752"/>
      <c r="K326" s="752"/>
      <c r="L326" s="185"/>
      <c r="M326" s="185"/>
      <c r="N326" s="185"/>
      <c r="O326" s="185"/>
      <c r="P326" s="185"/>
      <c r="Q326" s="185"/>
      <c r="R326" s="185"/>
      <c r="S326" s="185"/>
      <c r="T326" s="185"/>
    </row>
    <row r="327" spans="1:20">
      <c r="A327" s="185"/>
      <c r="B327" s="661"/>
      <c r="C327" s="185"/>
      <c r="D327" s="185"/>
      <c r="E327" s="185"/>
      <c r="F327" s="185"/>
      <c r="G327" s="186"/>
      <c r="H327" s="185"/>
      <c r="I327" s="185"/>
      <c r="J327" s="752"/>
      <c r="K327" s="752"/>
      <c r="L327" s="185"/>
      <c r="M327" s="185"/>
      <c r="N327" s="185"/>
      <c r="O327" s="185"/>
      <c r="P327" s="185"/>
      <c r="Q327" s="185"/>
      <c r="R327" s="185"/>
      <c r="S327" s="185"/>
      <c r="T327" s="185"/>
    </row>
    <row r="328" spans="1:20">
      <c r="A328" s="185"/>
      <c r="B328" s="661"/>
      <c r="C328" s="185"/>
      <c r="D328" s="185"/>
      <c r="E328" s="185"/>
      <c r="F328" s="185"/>
      <c r="G328" s="186"/>
      <c r="H328" s="185"/>
      <c r="I328" s="185"/>
      <c r="J328" s="752"/>
      <c r="K328" s="752"/>
      <c r="L328" s="185"/>
      <c r="M328" s="185"/>
      <c r="N328" s="185"/>
      <c r="O328" s="185"/>
      <c r="P328" s="185"/>
      <c r="Q328" s="185"/>
      <c r="R328" s="185"/>
      <c r="S328" s="185"/>
      <c r="T328" s="185"/>
    </row>
    <row r="329" spans="1:20">
      <c r="A329" s="185"/>
      <c r="B329" s="661"/>
      <c r="C329" s="185"/>
      <c r="D329" s="185"/>
      <c r="E329" s="185"/>
      <c r="F329" s="185"/>
      <c r="G329" s="186"/>
      <c r="H329" s="185"/>
      <c r="I329" s="185"/>
      <c r="J329" s="752"/>
      <c r="K329" s="752"/>
      <c r="L329" s="185"/>
      <c r="M329" s="185"/>
      <c r="N329" s="185"/>
      <c r="O329" s="185"/>
      <c r="P329" s="185"/>
      <c r="Q329" s="185"/>
      <c r="R329" s="185"/>
      <c r="S329" s="185"/>
      <c r="T329" s="185"/>
    </row>
    <row r="330" spans="1:20">
      <c r="A330" s="185"/>
      <c r="B330" s="661"/>
      <c r="C330" s="185"/>
      <c r="D330" s="185"/>
      <c r="E330" s="185"/>
      <c r="F330" s="185"/>
      <c r="G330" s="186"/>
      <c r="H330" s="185"/>
      <c r="I330" s="185"/>
      <c r="J330" s="752"/>
      <c r="K330" s="752"/>
      <c r="L330" s="185"/>
      <c r="M330" s="185"/>
      <c r="N330" s="185"/>
      <c r="O330" s="185"/>
      <c r="P330" s="185"/>
      <c r="Q330" s="185"/>
      <c r="R330" s="185"/>
      <c r="S330" s="185"/>
      <c r="T330" s="185"/>
    </row>
    <row r="331" spans="1:20">
      <c r="A331" s="185"/>
      <c r="B331" s="661"/>
      <c r="C331" s="185"/>
      <c r="D331" s="185"/>
      <c r="E331" s="185"/>
      <c r="F331" s="185"/>
      <c r="G331" s="186"/>
      <c r="H331" s="185"/>
      <c r="I331" s="185"/>
      <c r="J331" s="752"/>
      <c r="K331" s="752"/>
      <c r="L331" s="185"/>
      <c r="M331" s="185"/>
      <c r="N331" s="185"/>
      <c r="O331" s="185"/>
      <c r="P331" s="185"/>
      <c r="Q331" s="185"/>
      <c r="R331" s="185"/>
      <c r="S331" s="185"/>
      <c r="T331" s="185"/>
    </row>
    <row r="332" spans="1:20">
      <c r="A332" s="185"/>
      <c r="B332" s="661"/>
      <c r="C332" s="185"/>
      <c r="D332" s="185"/>
      <c r="E332" s="185"/>
      <c r="F332" s="185"/>
      <c r="G332" s="186"/>
      <c r="H332" s="185"/>
      <c r="I332" s="185"/>
      <c r="J332" s="752"/>
      <c r="K332" s="752"/>
      <c r="L332" s="185"/>
      <c r="M332" s="185"/>
      <c r="N332" s="185"/>
      <c r="O332" s="185"/>
      <c r="P332" s="185"/>
      <c r="Q332" s="185"/>
      <c r="R332" s="185"/>
      <c r="S332" s="185"/>
      <c r="T332" s="185"/>
    </row>
    <row r="333" spans="1:20">
      <c r="A333" s="185"/>
      <c r="B333" s="661"/>
      <c r="C333" s="185"/>
      <c r="D333" s="185"/>
      <c r="E333" s="185"/>
      <c r="F333" s="185"/>
      <c r="G333" s="186"/>
      <c r="H333" s="185"/>
      <c r="I333" s="185"/>
      <c r="J333" s="752"/>
      <c r="K333" s="752"/>
      <c r="L333" s="185"/>
      <c r="M333" s="185"/>
      <c r="N333" s="185"/>
      <c r="O333" s="185"/>
      <c r="P333" s="185"/>
      <c r="Q333" s="185"/>
      <c r="R333" s="185"/>
      <c r="S333" s="185"/>
      <c r="T333" s="185"/>
    </row>
    <row r="334" spans="1:20">
      <c r="A334" s="185"/>
      <c r="B334" s="661"/>
      <c r="C334" s="185"/>
      <c r="D334" s="185"/>
      <c r="E334" s="185"/>
      <c r="F334" s="185"/>
      <c r="G334" s="186"/>
      <c r="H334" s="185"/>
      <c r="I334" s="185"/>
      <c r="J334" s="752"/>
      <c r="K334" s="752"/>
      <c r="L334" s="185"/>
      <c r="M334" s="185"/>
      <c r="N334" s="185"/>
      <c r="O334" s="185"/>
      <c r="P334" s="185"/>
      <c r="Q334" s="185"/>
      <c r="R334" s="185"/>
      <c r="S334" s="185"/>
      <c r="T334" s="185"/>
    </row>
    <row r="335" spans="1:20">
      <c r="A335" s="185"/>
      <c r="B335" s="661"/>
      <c r="C335" s="185"/>
      <c r="D335" s="185"/>
      <c r="E335" s="185"/>
      <c r="F335" s="185"/>
      <c r="G335" s="186"/>
      <c r="H335" s="185"/>
      <c r="I335" s="185"/>
      <c r="J335" s="752"/>
      <c r="K335" s="752"/>
      <c r="L335" s="185"/>
      <c r="M335" s="185"/>
      <c r="N335" s="185"/>
      <c r="O335" s="185"/>
      <c r="P335" s="185"/>
      <c r="Q335" s="185"/>
      <c r="R335" s="185"/>
      <c r="S335" s="185"/>
      <c r="T335" s="185"/>
    </row>
    <row r="336" spans="1:20">
      <c r="A336" s="185"/>
      <c r="B336" s="661"/>
      <c r="C336" s="185"/>
      <c r="D336" s="185"/>
      <c r="E336" s="185"/>
      <c r="F336" s="185"/>
      <c r="G336" s="186"/>
      <c r="H336" s="185"/>
      <c r="I336" s="185"/>
      <c r="J336" s="752"/>
      <c r="K336" s="752"/>
      <c r="L336" s="185"/>
      <c r="M336" s="185"/>
      <c r="N336" s="185"/>
      <c r="O336" s="185"/>
      <c r="P336" s="185"/>
      <c r="Q336" s="185"/>
      <c r="R336" s="185"/>
      <c r="S336" s="185"/>
      <c r="T336" s="185"/>
    </row>
    <row r="337" spans="1:20">
      <c r="A337" s="185"/>
      <c r="B337" s="661"/>
      <c r="C337" s="185"/>
      <c r="D337" s="185"/>
      <c r="E337" s="185"/>
      <c r="F337" s="185"/>
      <c r="G337" s="186"/>
      <c r="H337" s="185"/>
      <c r="I337" s="185"/>
      <c r="J337" s="752"/>
      <c r="K337" s="752"/>
      <c r="L337" s="185"/>
      <c r="M337" s="185"/>
      <c r="N337" s="185"/>
      <c r="O337" s="185"/>
      <c r="P337" s="185"/>
      <c r="Q337" s="185"/>
      <c r="R337" s="185"/>
      <c r="S337" s="185"/>
      <c r="T337" s="185"/>
    </row>
    <row r="338" spans="1:20">
      <c r="A338" s="185"/>
      <c r="B338" s="661"/>
      <c r="C338" s="185"/>
      <c r="D338" s="185"/>
      <c r="E338" s="185"/>
      <c r="F338" s="185"/>
      <c r="G338" s="186"/>
      <c r="H338" s="185"/>
      <c r="I338" s="185"/>
      <c r="J338" s="752"/>
      <c r="K338" s="752"/>
      <c r="L338" s="185"/>
      <c r="M338" s="185"/>
      <c r="N338" s="185"/>
      <c r="O338" s="185"/>
      <c r="P338" s="185"/>
      <c r="Q338" s="185"/>
      <c r="R338" s="185"/>
      <c r="S338" s="185"/>
      <c r="T338" s="185"/>
    </row>
    <row r="339" spans="1:20">
      <c r="A339" s="185"/>
      <c r="B339" s="661"/>
      <c r="C339" s="185"/>
      <c r="D339" s="185"/>
      <c r="E339" s="185"/>
      <c r="F339" s="185"/>
      <c r="G339" s="186"/>
      <c r="H339" s="185"/>
      <c r="I339" s="185"/>
      <c r="J339" s="752"/>
      <c r="K339" s="752"/>
      <c r="L339" s="185"/>
      <c r="M339" s="185"/>
      <c r="N339" s="185"/>
      <c r="O339" s="185"/>
      <c r="P339" s="185"/>
      <c r="Q339" s="185"/>
      <c r="R339" s="185"/>
      <c r="S339" s="185"/>
      <c r="T339" s="185"/>
    </row>
    <row r="340" spans="1:20">
      <c r="A340" s="185"/>
      <c r="B340" s="661"/>
      <c r="C340" s="185"/>
      <c r="D340" s="185"/>
      <c r="E340" s="185"/>
      <c r="F340" s="185"/>
      <c r="G340" s="186"/>
      <c r="H340" s="185"/>
      <c r="I340" s="185"/>
      <c r="J340" s="752"/>
      <c r="K340" s="752"/>
      <c r="L340" s="185"/>
      <c r="M340" s="185"/>
      <c r="N340" s="185"/>
      <c r="O340" s="185"/>
      <c r="P340" s="185"/>
      <c r="Q340" s="185"/>
      <c r="R340" s="185"/>
      <c r="S340" s="185"/>
      <c r="T340" s="185"/>
    </row>
    <row r="341" spans="1:20">
      <c r="A341" s="185"/>
      <c r="B341" s="661"/>
      <c r="C341" s="185"/>
      <c r="D341" s="185"/>
      <c r="E341" s="185"/>
      <c r="F341" s="185"/>
      <c r="G341" s="186"/>
      <c r="H341" s="185"/>
      <c r="I341" s="185"/>
      <c r="J341" s="752"/>
      <c r="K341" s="752"/>
      <c r="L341" s="185"/>
      <c r="M341" s="185"/>
      <c r="N341" s="185"/>
      <c r="O341" s="185"/>
      <c r="P341" s="185"/>
      <c r="Q341" s="185"/>
      <c r="R341" s="185"/>
      <c r="S341" s="185"/>
      <c r="T341" s="185"/>
    </row>
    <row r="342" spans="1:20">
      <c r="A342" s="185"/>
      <c r="B342" s="661"/>
      <c r="C342" s="185"/>
      <c r="D342" s="185"/>
      <c r="E342" s="185"/>
      <c r="F342" s="185"/>
      <c r="G342" s="186"/>
      <c r="H342" s="185"/>
      <c r="I342" s="185"/>
      <c r="J342" s="752"/>
      <c r="K342" s="752"/>
      <c r="L342" s="185"/>
      <c r="M342" s="185"/>
      <c r="N342" s="185"/>
      <c r="O342" s="185"/>
      <c r="P342" s="185"/>
      <c r="Q342" s="185"/>
      <c r="R342" s="185"/>
      <c r="S342" s="185"/>
      <c r="T342" s="185"/>
    </row>
    <row r="343" spans="1:20">
      <c r="A343" s="185"/>
      <c r="B343" s="661"/>
      <c r="C343" s="185"/>
      <c r="D343" s="185"/>
      <c r="E343" s="185"/>
      <c r="F343" s="185"/>
      <c r="G343" s="186"/>
      <c r="H343" s="185"/>
      <c r="I343" s="185"/>
      <c r="J343" s="752"/>
      <c r="K343" s="752"/>
      <c r="L343" s="185"/>
      <c r="M343" s="185"/>
      <c r="N343" s="185"/>
      <c r="O343" s="185"/>
      <c r="P343" s="185"/>
      <c r="Q343" s="185"/>
      <c r="R343" s="185"/>
      <c r="S343" s="185"/>
      <c r="T343" s="185"/>
    </row>
    <row r="344" spans="1:20">
      <c r="A344" s="185"/>
      <c r="B344" s="661"/>
      <c r="C344" s="185"/>
      <c r="D344" s="185"/>
      <c r="E344" s="185"/>
      <c r="F344" s="185"/>
      <c r="G344" s="186"/>
      <c r="H344" s="185"/>
      <c r="I344" s="185"/>
      <c r="J344" s="752"/>
      <c r="K344" s="752"/>
      <c r="L344" s="185"/>
      <c r="M344" s="185"/>
      <c r="N344" s="185"/>
      <c r="O344" s="185"/>
      <c r="P344" s="185"/>
      <c r="Q344" s="185"/>
      <c r="R344" s="185"/>
      <c r="S344" s="185"/>
      <c r="T344" s="185"/>
    </row>
    <row r="345" spans="1:20">
      <c r="A345" s="185"/>
      <c r="B345" s="661"/>
      <c r="C345" s="185"/>
      <c r="D345" s="185"/>
      <c r="E345" s="185"/>
      <c r="F345" s="185"/>
      <c r="G345" s="186"/>
      <c r="H345" s="185"/>
      <c r="I345" s="185"/>
      <c r="J345" s="752"/>
      <c r="K345" s="752"/>
      <c r="L345" s="185"/>
      <c r="M345" s="185"/>
      <c r="N345" s="185"/>
      <c r="O345" s="185"/>
      <c r="P345" s="185"/>
      <c r="Q345" s="185"/>
      <c r="R345" s="185"/>
      <c r="S345" s="185"/>
      <c r="T345" s="185"/>
    </row>
    <row r="346" spans="1:20">
      <c r="A346" s="185"/>
      <c r="B346" s="661"/>
      <c r="C346" s="185"/>
      <c r="D346" s="185"/>
      <c r="E346" s="185"/>
      <c r="F346" s="185"/>
      <c r="G346" s="186"/>
      <c r="H346" s="185"/>
      <c r="I346" s="185"/>
      <c r="J346" s="752"/>
      <c r="K346" s="752"/>
      <c r="L346" s="185"/>
      <c r="M346" s="185"/>
      <c r="N346" s="185"/>
      <c r="O346" s="185"/>
      <c r="P346" s="185"/>
      <c r="Q346" s="185"/>
      <c r="R346" s="185"/>
      <c r="S346" s="185"/>
      <c r="T346" s="185"/>
    </row>
    <row r="347" spans="1:20">
      <c r="A347" s="185"/>
      <c r="B347" s="661"/>
      <c r="C347" s="185"/>
      <c r="D347" s="185"/>
      <c r="E347" s="185"/>
      <c r="F347" s="185"/>
      <c r="G347" s="186"/>
      <c r="H347" s="185"/>
      <c r="I347" s="185"/>
      <c r="J347" s="752"/>
      <c r="K347" s="752"/>
      <c r="L347" s="185"/>
      <c r="M347" s="185"/>
      <c r="N347" s="185"/>
      <c r="O347" s="185"/>
      <c r="P347" s="185"/>
      <c r="Q347" s="185"/>
      <c r="R347" s="185"/>
      <c r="S347" s="185"/>
      <c r="T347" s="185"/>
    </row>
    <row r="348" spans="1:20">
      <c r="A348" s="185"/>
      <c r="B348" s="661"/>
      <c r="C348" s="185"/>
      <c r="D348" s="185"/>
      <c r="E348" s="185"/>
      <c r="F348" s="185"/>
      <c r="G348" s="186"/>
      <c r="H348" s="185"/>
      <c r="I348" s="185"/>
      <c r="J348" s="752"/>
      <c r="K348" s="752"/>
      <c r="L348" s="185"/>
      <c r="M348" s="185"/>
      <c r="N348" s="185"/>
      <c r="O348" s="185"/>
      <c r="P348" s="185"/>
      <c r="Q348" s="185"/>
      <c r="R348" s="185"/>
      <c r="S348" s="185"/>
      <c r="T348" s="185"/>
    </row>
    <row r="349" spans="1:20">
      <c r="A349" s="185"/>
      <c r="B349" s="661"/>
      <c r="C349" s="185"/>
      <c r="D349" s="185"/>
      <c r="E349" s="185"/>
      <c r="F349" s="185"/>
      <c r="G349" s="186"/>
      <c r="H349" s="185"/>
      <c r="I349" s="185"/>
      <c r="J349" s="752"/>
      <c r="K349" s="752"/>
      <c r="L349" s="185"/>
      <c r="M349" s="185"/>
      <c r="N349" s="185"/>
      <c r="O349" s="185"/>
      <c r="P349" s="185"/>
      <c r="Q349" s="185"/>
      <c r="R349" s="185"/>
      <c r="S349" s="185"/>
      <c r="T349" s="185"/>
    </row>
    <row r="350" spans="1:20">
      <c r="A350" s="185"/>
      <c r="B350" s="661"/>
      <c r="C350" s="185"/>
      <c r="D350" s="185"/>
      <c r="E350" s="185"/>
      <c r="F350" s="185"/>
      <c r="G350" s="186"/>
      <c r="H350" s="185"/>
      <c r="I350" s="185"/>
      <c r="J350" s="752"/>
      <c r="K350" s="752"/>
      <c r="L350" s="185"/>
      <c r="M350" s="185"/>
      <c r="N350" s="185"/>
      <c r="O350" s="185"/>
      <c r="P350" s="185"/>
      <c r="Q350" s="185"/>
      <c r="R350" s="185"/>
      <c r="S350" s="185"/>
      <c r="T350" s="185"/>
    </row>
    <row r="351" spans="1:20">
      <c r="A351" s="185"/>
      <c r="B351" s="661"/>
      <c r="C351" s="185"/>
      <c r="D351" s="185"/>
      <c r="E351" s="185"/>
      <c r="F351" s="185"/>
      <c r="G351" s="186"/>
      <c r="H351" s="185"/>
      <c r="I351" s="185"/>
      <c r="J351" s="752"/>
      <c r="K351" s="752"/>
      <c r="L351" s="185"/>
      <c r="M351" s="185"/>
      <c r="N351" s="185"/>
      <c r="O351" s="185"/>
      <c r="P351" s="185"/>
      <c r="Q351" s="185"/>
      <c r="R351" s="185"/>
      <c r="S351" s="185"/>
      <c r="T351" s="185"/>
    </row>
    <row r="352" spans="1:20">
      <c r="A352" s="185"/>
      <c r="B352" s="661"/>
      <c r="C352" s="185"/>
      <c r="D352" s="185"/>
      <c r="E352" s="185"/>
      <c r="F352" s="185"/>
      <c r="G352" s="186"/>
      <c r="H352" s="185"/>
      <c r="I352" s="185"/>
      <c r="J352" s="752"/>
      <c r="K352" s="752"/>
      <c r="L352" s="185"/>
      <c r="M352" s="185"/>
      <c r="N352" s="185"/>
      <c r="O352" s="185"/>
      <c r="P352" s="185"/>
      <c r="Q352" s="185"/>
      <c r="R352" s="185"/>
      <c r="S352" s="185"/>
      <c r="T352" s="185"/>
    </row>
    <row r="353" spans="1:20">
      <c r="A353" s="185"/>
      <c r="B353" s="661"/>
      <c r="C353" s="185"/>
      <c r="D353" s="185"/>
      <c r="E353" s="185"/>
      <c r="F353" s="185"/>
      <c r="G353" s="186"/>
      <c r="H353" s="185"/>
      <c r="I353" s="185"/>
      <c r="J353" s="752"/>
      <c r="K353" s="752"/>
      <c r="L353" s="185"/>
      <c r="M353" s="185"/>
      <c r="N353" s="185"/>
      <c r="O353" s="185"/>
      <c r="P353" s="185"/>
      <c r="Q353" s="185"/>
      <c r="R353" s="185"/>
      <c r="S353" s="185"/>
      <c r="T353" s="185"/>
    </row>
    <row r="354" spans="1:20">
      <c r="A354" s="185"/>
      <c r="B354" s="661"/>
      <c r="C354" s="185"/>
      <c r="D354" s="185"/>
      <c r="E354" s="185"/>
      <c r="F354" s="185"/>
      <c r="G354" s="186"/>
      <c r="H354" s="185"/>
      <c r="I354" s="185"/>
      <c r="J354" s="752"/>
      <c r="K354" s="752"/>
      <c r="L354" s="185"/>
      <c r="M354" s="185"/>
      <c r="N354" s="185"/>
      <c r="O354" s="185"/>
      <c r="P354" s="185"/>
      <c r="Q354" s="185"/>
      <c r="R354" s="185"/>
      <c r="S354" s="185"/>
      <c r="T354" s="185"/>
    </row>
    <row r="355" spans="1:20">
      <c r="A355" s="185"/>
      <c r="B355" s="661"/>
      <c r="C355" s="185"/>
      <c r="D355" s="185"/>
      <c r="E355" s="185"/>
      <c r="F355" s="185"/>
      <c r="G355" s="186"/>
      <c r="H355" s="185"/>
      <c r="I355" s="185"/>
      <c r="J355" s="752"/>
      <c r="K355" s="752"/>
      <c r="L355" s="185"/>
      <c r="M355" s="185"/>
      <c r="N355" s="185"/>
      <c r="O355" s="185"/>
      <c r="P355" s="185"/>
      <c r="Q355" s="185"/>
      <c r="R355" s="185"/>
      <c r="S355" s="185"/>
      <c r="T355" s="185"/>
    </row>
    <row r="356" spans="1:20">
      <c r="A356" s="185"/>
      <c r="B356" s="661"/>
      <c r="C356" s="185"/>
      <c r="D356" s="185"/>
      <c r="E356" s="185"/>
      <c r="F356" s="185"/>
      <c r="G356" s="186"/>
      <c r="H356" s="185"/>
      <c r="I356" s="185"/>
      <c r="J356" s="752"/>
      <c r="K356" s="752"/>
      <c r="L356" s="185"/>
      <c r="M356" s="185"/>
      <c r="N356" s="185"/>
      <c r="O356" s="185"/>
      <c r="P356" s="185"/>
      <c r="Q356" s="185"/>
      <c r="R356" s="185"/>
      <c r="S356" s="185"/>
      <c r="T356" s="185"/>
    </row>
    <row r="357" spans="1:20">
      <c r="A357" s="185"/>
      <c r="B357" s="661"/>
      <c r="C357" s="185"/>
      <c r="D357" s="185"/>
      <c r="E357" s="185"/>
      <c r="F357" s="185"/>
      <c r="G357" s="186"/>
      <c r="H357" s="185"/>
      <c r="I357" s="185"/>
      <c r="J357" s="752"/>
      <c r="K357" s="752"/>
      <c r="L357" s="185"/>
      <c r="M357" s="185"/>
      <c r="N357" s="185"/>
      <c r="O357" s="185"/>
      <c r="P357" s="185"/>
      <c r="Q357" s="185"/>
      <c r="R357" s="185"/>
      <c r="S357" s="185"/>
      <c r="T357" s="185"/>
    </row>
    <row r="358" spans="1:20">
      <c r="A358" s="185"/>
      <c r="B358" s="661"/>
      <c r="C358" s="185"/>
      <c r="D358" s="185"/>
      <c r="E358" s="185"/>
      <c r="F358" s="185"/>
      <c r="G358" s="186"/>
      <c r="H358" s="185"/>
      <c r="I358" s="185"/>
      <c r="J358" s="752"/>
      <c r="K358" s="752"/>
      <c r="L358" s="185"/>
      <c r="M358" s="185"/>
      <c r="N358" s="185"/>
      <c r="O358" s="185"/>
      <c r="P358" s="185"/>
      <c r="Q358" s="185"/>
      <c r="R358" s="185"/>
      <c r="S358" s="185"/>
      <c r="T358" s="185"/>
    </row>
    <row r="359" spans="1:20">
      <c r="A359" s="185"/>
      <c r="B359" s="661"/>
      <c r="C359" s="185"/>
      <c r="D359" s="185"/>
      <c r="E359" s="185"/>
      <c r="F359" s="185"/>
      <c r="G359" s="186"/>
      <c r="H359" s="185"/>
      <c r="I359" s="185"/>
      <c r="J359" s="752"/>
      <c r="K359" s="752"/>
      <c r="L359" s="185"/>
      <c r="M359" s="185"/>
      <c r="N359" s="185"/>
      <c r="O359" s="185"/>
      <c r="P359" s="185"/>
      <c r="Q359" s="185"/>
      <c r="R359" s="185"/>
      <c r="S359" s="185"/>
      <c r="T359" s="185"/>
    </row>
    <row r="360" spans="1:20">
      <c r="A360" s="185"/>
      <c r="B360" s="661"/>
      <c r="C360" s="185"/>
      <c r="D360" s="185"/>
      <c r="E360" s="185"/>
      <c r="F360" s="185"/>
      <c r="G360" s="186"/>
      <c r="H360" s="185"/>
      <c r="I360" s="185"/>
      <c r="J360" s="752"/>
      <c r="K360" s="752"/>
      <c r="L360" s="185"/>
      <c r="M360" s="185"/>
      <c r="N360" s="185"/>
      <c r="O360" s="185"/>
      <c r="P360" s="185"/>
      <c r="Q360" s="185"/>
      <c r="R360" s="185"/>
      <c r="S360" s="185"/>
      <c r="T360" s="185"/>
    </row>
    <row r="361" spans="1:20">
      <c r="A361" s="185"/>
      <c r="B361" s="661"/>
      <c r="C361" s="185"/>
      <c r="D361" s="185"/>
      <c r="E361" s="185"/>
      <c r="F361" s="185"/>
      <c r="G361" s="186"/>
      <c r="H361" s="185"/>
      <c r="I361" s="185"/>
      <c r="J361" s="752"/>
      <c r="K361" s="752"/>
      <c r="L361" s="185"/>
      <c r="M361" s="185"/>
      <c r="N361" s="185"/>
      <c r="O361" s="185"/>
      <c r="P361" s="185"/>
      <c r="Q361" s="185"/>
      <c r="R361" s="185"/>
      <c r="S361" s="185"/>
      <c r="T361" s="185"/>
    </row>
    <row r="362" spans="1:20">
      <c r="A362" s="185"/>
      <c r="B362" s="661"/>
      <c r="C362" s="185"/>
      <c r="D362" s="185"/>
      <c r="E362" s="185"/>
      <c r="F362" s="185"/>
      <c r="G362" s="186"/>
      <c r="H362" s="185"/>
      <c r="I362" s="185"/>
      <c r="J362" s="752"/>
      <c r="K362" s="752"/>
      <c r="L362" s="185"/>
      <c r="M362" s="185"/>
      <c r="N362" s="185"/>
      <c r="O362" s="185"/>
      <c r="P362" s="185"/>
      <c r="Q362" s="185"/>
      <c r="R362" s="185"/>
      <c r="S362" s="185"/>
      <c r="T362" s="185"/>
    </row>
    <row r="363" spans="1:20">
      <c r="A363" s="185"/>
      <c r="B363" s="661"/>
      <c r="C363" s="185"/>
      <c r="D363" s="185"/>
      <c r="E363" s="185"/>
      <c r="F363" s="185"/>
      <c r="G363" s="186"/>
      <c r="H363" s="185"/>
      <c r="I363" s="185"/>
      <c r="J363" s="752"/>
      <c r="K363" s="752"/>
      <c r="L363" s="185"/>
      <c r="M363" s="185"/>
      <c r="N363" s="185"/>
      <c r="O363" s="185"/>
      <c r="P363" s="185"/>
      <c r="Q363" s="185"/>
      <c r="R363" s="185"/>
      <c r="S363" s="185"/>
      <c r="T363" s="185"/>
    </row>
    <row r="364" spans="1:20">
      <c r="A364" s="185"/>
      <c r="B364" s="661"/>
      <c r="C364" s="185"/>
      <c r="D364" s="185"/>
      <c r="E364" s="185"/>
      <c r="F364" s="185"/>
      <c r="G364" s="186"/>
      <c r="H364" s="185"/>
      <c r="I364" s="185"/>
      <c r="J364" s="752"/>
      <c r="K364" s="752"/>
      <c r="L364" s="185"/>
      <c r="M364" s="185"/>
      <c r="N364" s="185"/>
      <c r="O364" s="185"/>
      <c r="P364" s="185"/>
      <c r="Q364" s="185"/>
      <c r="R364" s="185"/>
      <c r="S364" s="185"/>
      <c r="T364" s="185"/>
    </row>
    <row r="365" spans="1:20">
      <c r="A365" s="185"/>
      <c r="B365" s="661"/>
      <c r="C365" s="185"/>
      <c r="D365" s="185"/>
      <c r="E365" s="185"/>
      <c r="F365" s="185"/>
      <c r="G365" s="186"/>
      <c r="H365" s="185"/>
      <c r="I365" s="185"/>
      <c r="J365" s="752"/>
      <c r="K365" s="752"/>
      <c r="L365" s="185"/>
      <c r="M365" s="185"/>
      <c r="N365" s="185"/>
      <c r="O365" s="185"/>
      <c r="P365" s="185"/>
      <c r="Q365" s="185"/>
      <c r="R365" s="185"/>
      <c r="S365" s="185"/>
      <c r="T365" s="185"/>
    </row>
    <row r="366" spans="1:20">
      <c r="A366" s="185"/>
      <c r="B366" s="661"/>
      <c r="C366" s="185"/>
      <c r="D366" s="185"/>
      <c r="E366" s="185"/>
      <c r="F366" s="185"/>
      <c r="G366" s="186"/>
      <c r="H366" s="185"/>
      <c r="I366" s="185"/>
      <c r="J366" s="752"/>
      <c r="K366" s="752"/>
      <c r="L366" s="185"/>
      <c r="M366" s="185"/>
      <c r="N366" s="185"/>
      <c r="O366" s="185"/>
      <c r="P366" s="185"/>
      <c r="Q366" s="185"/>
      <c r="R366" s="185"/>
      <c r="S366" s="185"/>
      <c r="T366" s="185"/>
    </row>
    <row r="367" spans="1:20">
      <c r="A367" s="185"/>
      <c r="B367" s="661"/>
      <c r="C367" s="185"/>
      <c r="D367" s="185"/>
      <c r="E367" s="185"/>
      <c r="F367" s="185"/>
      <c r="G367" s="186"/>
      <c r="H367" s="185"/>
      <c r="I367" s="185"/>
      <c r="J367" s="752"/>
      <c r="K367" s="752"/>
      <c r="L367" s="185"/>
      <c r="M367" s="185"/>
      <c r="N367" s="185"/>
      <c r="O367" s="185"/>
      <c r="P367" s="185"/>
      <c r="Q367" s="185"/>
      <c r="R367" s="185"/>
      <c r="S367" s="185"/>
      <c r="T367" s="185"/>
    </row>
    <row r="368" spans="1:20">
      <c r="A368" s="185"/>
      <c r="B368" s="661"/>
      <c r="C368" s="185"/>
      <c r="D368" s="185"/>
      <c r="E368" s="185"/>
      <c r="F368" s="185"/>
      <c r="G368" s="186"/>
      <c r="H368" s="185"/>
      <c r="I368" s="185"/>
      <c r="J368" s="752"/>
      <c r="K368" s="752"/>
      <c r="L368" s="185"/>
      <c r="M368" s="185"/>
      <c r="N368" s="185"/>
      <c r="O368" s="185"/>
      <c r="P368" s="185"/>
      <c r="Q368" s="185"/>
      <c r="R368" s="185"/>
      <c r="S368" s="185"/>
      <c r="T368" s="185"/>
    </row>
    <row r="369" spans="1:20">
      <c r="A369" s="185"/>
      <c r="B369" s="661"/>
      <c r="C369" s="185"/>
      <c r="D369" s="185"/>
      <c r="E369" s="185"/>
      <c r="F369" s="185"/>
      <c r="G369" s="186"/>
      <c r="H369" s="185"/>
      <c r="I369" s="185"/>
      <c r="J369" s="752"/>
      <c r="K369" s="752"/>
      <c r="L369" s="185"/>
      <c r="M369" s="185"/>
      <c r="N369" s="185"/>
      <c r="O369" s="185"/>
      <c r="P369" s="185"/>
      <c r="Q369" s="185"/>
      <c r="R369" s="185"/>
      <c r="S369" s="185"/>
      <c r="T369" s="185"/>
    </row>
    <row r="370" spans="1:20">
      <c r="A370" s="185"/>
      <c r="B370" s="661"/>
      <c r="C370" s="185"/>
      <c r="D370" s="185"/>
      <c r="E370" s="185"/>
      <c r="F370" s="185"/>
      <c r="G370" s="186"/>
      <c r="H370" s="185"/>
      <c r="I370" s="185"/>
      <c r="J370" s="752"/>
      <c r="K370" s="752"/>
      <c r="L370" s="185"/>
      <c r="M370" s="185"/>
      <c r="N370" s="185"/>
      <c r="O370" s="185"/>
      <c r="P370" s="185"/>
      <c r="Q370" s="185"/>
      <c r="R370" s="185"/>
      <c r="S370" s="185"/>
      <c r="T370" s="185"/>
    </row>
    <row r="371" spans="1:20">
      <c r="A371" s="185"/>
      <c r="B371" s="661"/>
      <c r="C371" s="185"/>
      <c r="D371" s="185"/>
      <c r="E371" s="185"/>
      <c r="F371" s="185"/>
      <c r="G371" s="186"/>
      <c r="H371" s="185"/>
      <c r="I371" s="185"/>
      <c r="J371" s="752"/>
      <c r="K371" s="752"/>
      <c r="L371" s="185"/>
      <c r="M371" s="185"/>
      <c r="N371" s="185"/>
      <c r="O371" s="185"/>
      <c r="P371" s="185"/>
      <c r="Q371" s="185"/>
      <c r="R371" s="185"/>
      <c r="S371" s="185"/>
      <c r="T371" s="185"/>
    </row>
    <row r="372" spans="1:20">
      <c r="A372" s="185"/>
      <c r="B372" s="661"/>
      <c r="C372" s="185"/>
      <c r="D372" s="185"/>
      <c r="E372" s="185"/>
      <c r="F372" s="185"/>
      <c r="G372" s="186"/>
      <c r="H372" s="185"/>
      <c r="I372" s="185"/>
      <c r="J372" s="752"/>
      <c r="K372" s="752"/>
      <c r="L372" s="185"/>
      <c r="M372" s="185"/>
      <c r="N372" s="185"/>
      <c r="O372" s="185"/>
      <c r="P372" s="185"/>
      <c r="Q372" s="185"/>
      <c r="R372" s="185"/>
      <c r="S372" s="185"/>
      <c r="T372" s="185"/>
    </row>
    <row r="373" spans="1:20">
      <c r="A373" s="185"/>
      <c r="B373" s="661"/>
      <c r="C373" s="185"/>
      <c r="D373" s="185"/>
      <c r="E373" s="185"/>
      <c r="F373" s="185"/>
      <c r="G373" s="186"/>
      <c r="H373" s="185"/>
      <c r="I373" s="185"/>
      <c r="J373" s="752"/>
      <c r="K373" s="752"/>
      <c r="L373" s="185"/>
      <c r="M373" s="185"/>
      <c r="N373" s="185"/>
      <c r="O373" s="185"/>
      <c r="P373" s="185"/>
      <c r="Q373" s="185"/>
      <c r="R373" s="185"/>
      <c r="S373" s="185"/>
      <c r="T373" s="185"/>
    </row>
    <row r="374" spans="1:20">
      <c r="A374" s="185"/>
      <c r="B374" s="661"/>
      <c r="C374" s="185"/>
      <c r="D374" s="185"/>
      <c r="E374" s="185"/>
      <c r="F374" s="185"/>
      <c r="G374" s="186"/>
      <c r="H374" s="185"/>
      <c r="I374" s="185"/>
      <c r="J374" s="752"/>
      <c r="K374" s="752"/>
      <c r="L374" s="185"/>
      <c r="M374" s="185"/>
      <c r="N374" s="185"/>
      <c r="O374" s="185"/>
      <c r="P374" s="185"/>
      <c r="Q374" s="185"/>
      <c r="R374" s="185"/>
      <c r="S374" s="185"/>
      <c r="T374" s="185"/>
    </row>
    <row r="375" spans="1:20">
      <c r="A375" s="185"/>
      <c r="B375" s="661"/>
      <c r="C375" s="185"/>
      <c r="D375" s="185"/>
      <c r="E375" s="185"/>
      <c r="F375" s="185"/>
      <c r="G375" s="186"/>
      <c r="H375" s="185"/>
      <c r="I375" s="185"/>
      <c r="J375" s="752"/>
      <c r="K375" s="752"/>
      <c r="L375" s="185"/>
      <c r="M375" s="185"/>
      <c r="N375" s="185"/>
      <c r="O375" s="185"/>
      <c r="P375" s="185"/>
      <c r="Q375" s="185"/>
      <c r="R375" s="185"/>
      <c r="S375" s="185"/>
      <c r="T375" s="185"/>
    </row>
    <row r="376" spans="1:20">
      <c r="A376" s="185"/>
      <c r="B376" s="661"/>
      <c r="C376" s="185"/>
      <c r="D376" s="185"/>
      <c r="E376" s="185"/>
      <c r="F376" s="185"/>
      <c r="G376" s="186"/>
      <c r="H376" s="185"/>
      <c r="I376" s="185"/>
      <c r="J376" s="752"/>
      <c r="K376" s="752"/>
      <c r="L376" s="185"/>
      <c r="M376" s="185"/>
      <c r="N376" s="185"/>
      <c r="O376" s="185"/>
      <c r="P376" s="185"/>
      <c r="Q376" s="185"/>
      <c r="R376" s="185"/>
      <c r="S376" s="185"/>
      <c r="T376" s="185"/>
    </row>
    <row r="377" spans="1:20">
      <c r="A377" s="185"/>
      <c r="B377" s="661"/>
      <c r="C377" s="185"/>
      <c r="D377" s="185"/>
      <c r="E377" s="185"/>
      <c r="F377" s="185"/>
      <c r="G377" s="186"/>
      <c r="H377" s="185"/>
      <c r="I377" s="185"/>
      <c r="J377" s="752"/>
      <c r="K377" s="752"/>
      <c r="L377" s="185"/>
      <c r="M377" s="185"/>
      <c r="N377" s="185"/>
      <c r="O377" s="185"/>
      <c r="P377" s="185"/>
      <c r="Q377" s="185"/>
      <c r="R377" s="185"/>
      <c r="S377" s="185"/>
      <c r="T377" s="185"/>
    </row>
    <row r="378" spans="1:20">
      <c r="A378" s="185"/>
      <c r="B378" s="661"/>
      <c r="C378" s="185"/>
      <c r="D378" s="185"/>
      <c r="E378" s="185"/>
      <c r="F378" s="185"/>
      <c r="G378" s="186"/>
      <c r="H378" s="185"/>
      <c r="I378" s="185"/>
      <c r="J378" s="752"/>
      <c r="K378" s="752"/>
      <c r="L378" s="185"/>
      <c r="M378" s="185"/>
      <c r="N378" s="185"/>
      <c r="O378" s="185"/>
      <c r="P378" s="185"/>
      <c r="Q378" s="185"/>
      <c r="R378" s="185"/>
      <c r="S378" s="185"/>
      <c r="T378" s="185"/>
    </row>
    <row r="379" spans="1:20">
      <c r="A379" s="185"/>
      <c r="B379" s="661"/>
      <c r="C379" s="185"/>
      <c r="D379" s="185"/>
      <c r="E379" s="185"/>
      <c r="F379" s="185"/>
      <c r="G379" s="186"/>
      <c r="H379" s="185"/>
      <c r="I379" s="185"/>
      <c r="J379" s="752"/>
      <c r="K379" s="752"/>
      <c r="L379" s="185"/>
      <c r="M379" s="185"/>
      <c r="N379" s="185"/>
      <c r="O379" s="185"/>
      <c r="P379" s="185"/>
      <c r="Q379" s="185"/>
      <c r="R379" s="185"/>
      <c r="S379" s="185"/>
      <c r="T379" s="185"/>
    </row>
    <row r="380" spans="1:20">
      <c r="A380" s="185"/>
      <c r="B380" s="661"/>
      <c r="C380" s="185"/>
      <c r="D380" s="185"/>
      <c r="E380" s="185"/>
      <c r="F380" s="185"/>
      <c r="G380" s="186"/>
      <c r="H380" s="185"/>
      <c r="I380" s="185"/>
      <c r="J380" s="752"/>
      <c r="K380" s="752"/>
      <c r="L380" s="185"/>
      <c r="M380" s="185"/>
      <c r="N380" s="185"/>
      <c r="O380" s="185"/>
      <c r="P380" s="185"/>
      <c r="Q380" s="185"/>
      <c r="R380" s="185"/>
      <c r="S380" s="185"/>
      <c r="T380" s="185"/>
    </row>
    <row r="381" spans="1:20">
      <c r="A381" s="185"/>
      <c r="B381" s="661"/>
      <c r="C381" s="185"/>
      <c r="D381" s="185"/>
      <c r="E381" s="185"/>
      <c r="F381" s="185"/>
      <c r="G381" s="186"/>
      <c r="H381" s="185"/>
      <c r="I381" s="185"/>
      <c r="J381" s="752"/>
      <c r="K381" s="752"/>
      <c r="L381" s="185"/>
      <c r="M381" s="185"/>
      <c r="N381" s="185"/>
      <c r="O381" s="185"/>
      <c r="P381" s="185"/>
      <c r="Q381" s="185"/>
      <c r="R381" s="185"/>
      <c r="S381" s="185"/>
      <c r="T381" s="185"/>
    </row>
    <row r="382" spans="1:20">
      <c r="A382" s="185"/>
      <c r="B382" s="661"/>
      <c r="C382" s="185"/>
      <c r="D382" s="185"/>
      <c r="E382" s="185"/>
      <c r="F382" s="185"/>
      <c r="G382" s="186"/>
      <c r="H382" s="185"/>
      <c r="I382" s="185"/>
      <c r="J382" s="752"/>
      <c r="K382" s="752"/>
      <c r="L382" s="185"/>
      <c r="M382" s="185"/>
      <c r="N382" s="185"/>
      <c r="O382" s="185"/>
      <c r="P382" s="185"/>
      <c r="Q382" s="185"/>
      <c r="R382" s="185"/>
      <c r="S382" s="185"/>
      <c r="T382" s="185"/>
    </row>
    <row r="383" spans="1:20">
      <c r="A383" s="185"/>
      <c r="B383" s="661"/>
      <c r="C383" s="185"/>
      <c r="D383" s="185"/>
      <c r="E383" s="185"/>
      <c r="F383" s="185"/>
      <c r="G383" s="186"/>
      <c r="H383" s="185"/>
      <c r="I383" s="185"/>
      <c r="J383" s="752"/>
      <c r="K383" s="752"/>
      <c r="L383" s="185"/>
      <c r="M383" s="185"/>
      <c r="N383" s="185"/>
      <c r="O383" s="185"/>
      <c r="P383" s="185"/>
      <c r="Q383" s="185"/>
      <c r="R383" s="185"/>
      <c r="S383" s="185"/>
      <c r="T383" s="185"/>
    </row>
    <row r="384" spans="1:20">
      <c r="A384" s="185"/>
      <c r="B384" s="661"/>
      <c r="C384" s="185"/>
      <c r="D384" s="185"/>
      <c r="E384" s="185"/>
      <c r="F384" s="185"/>
      <c r="G384" s="186"/>
      <c r="H384" s="185"/>
      <c r="I384" s="185"/>
      <c r="J384" s="752"/>
      <c r="K384" s="752"/>
      <c r="L384" s="185"/>
      <c r="M384" s="185"/>
      <c r="N384" s="185"/>
      <c r="O384" s="185"/>
      <c r="P384" s="185"/>
      <c r="Q384" s="185"/>
      <c r="R384" s="185"/>
      <c r="S384" s="185"/>
      <c r="T384" s="185"/>
    </row>
    <row r="385" spans="1:20">
      <c r="A385" s="185"/>
      <c r="B385" s="661"/>
      <c r="C385" s="185"/>
      <c r="D385" s="185"/>
      <c r="E385" s="185"/>
      <c r="F385" s="185"/>
      <c r="G385" s="186"/>
      <c r="H385" s="185"/>
      <c r="I385" s="185"/>
      <c r="J385" s="752"/>
      <c r="K385" s="752"/>
      <c r="L385" s="185"/>
      <c r="M385" s="185"/>
      <c r="N385" s="185"/>
      <c r="O385" s="185"/>
      <c r="P385" s="185"/>
      <c r="Q385" s="185"/>
      <c r="R385" s="185"/>
      <c r="S385" s="185"/>
      <c r="T385" s="185"/>
    </row>
    <row r="386" spans="1:20">
      <c r="A386" s="185"/>
      <c r="B386" s="661"/>
      <c r="C386" s="185"/>
      <c r="D386" s="185"/>
      <c r="E386" s="185"/>
      <c r="F386" s="185"/>
      <c r="G386" s="186"/>
      <c r="H386" s="185"/>
      <c r="I386" s="185"/>
      <c r="J386" s="752"/>
      <c r="K386" s="752"/>
      <c r="L386" s="185"/>
      <c r="M386" s="185"/>
      <c r="N386" s="185"/>
      <c r="O386" s="185"/>
      <c r="P386" s="185"/>
      <c r="Q386" s="185"/>
      <c r="R386" s="185"/>
      <c r="S386" s="185"/>
      <c r="T386" s="185"/>
    </row>
    <row r="387" spans="1:20">
      <c r="A387" s="185"/>
      <c r="B387" s="661"/>
      <c r="C387" s="185"/>
      <c r="D387" s="185"/>
      <c r="E387" s="185"/>
      <c r="F387" s="185"/>
      <c r="G387" s="186"/>
      <c r="H387" s="185"/>
      <c r="I387" s="185"/>
      <c r="J387" s="752"/>
      <c r="K387" s="752"/>
      <c r="L387" s="185"/>
      <c r="M387" s="185"/>
      <c r="N387" s="185"/>
      <c r="O387" s="185"/>
      <c r="P387" s="185"/>
      <c r="Q387" s="185"/>
      <c r="R387" s="185"/>
      <c r="S387" s="185"/>
      <c r="T387" s="185"/>
    </row>
    <row r="388" spans="1:20">
      <c r="A388" s="185"/>
      <c r="B388" s="661"/>
      <c r="C388" s="185"/>
      <c r="D388" s="185"/>
      <c r="E388" s="185"/>
      <c r="F388" s="185"/>
      <c r="G388" s="186"/>
      <c r="H388" s="185"/>
      <c r="I388" s="185"/>
      <c r="J388" s="752"/>
      <c r="K388" s="752"/>
      <c r="L388" s="185"/>
      <c r="M388" s="185"/>
      <c r="N388" s="185"/>
      <c r="O388" s="185"/>
      <c r="P388" s="185"/>
      <c r="Q388" s="185"/>
      <c r="R388" s="185"/>
      <c r="S388" s="185"/>
      <c r="T388" s="185"/>
    </row>
    <row r="389" spans="1:20">
      <c r="A389" s="185"/>
      <c r="B389" s="661"/>
      <c r="C389" s="185"/>
      <c r="D389" s="185"/>
      <c r="E389" s="185"/>
      <c r="F389" s="185"/>
      <c r="G389" s="186"/>
      <c r="H389" s="185"/>
      <c r="I389" s="185"/>
      <c r="J389" s="752"/>
      <c r="K389" s="752"/>
      <c r="L389" s="185"/>
      <c r="M389" s="185"/>
      <c r="N389" s="185"/>
      <c r="O389" s="185"/>
      <c r="P389" s="185"/>
      <c r="Q389" s="185"/>
      <c r="R389" s="185"/>
      <c r="S389" s="185"/>
      <c r="T389" s="185"/>
    </row>
    <row r="390" spans="1:20">
      <c r="A390" s="185"/>
      <c r="B390" s="661"/>
      <c r="C390" s="185"/>
      <c r="D390" s="185"/>
      <c r="E390" s="185"/>
      <c r="F390" s="185"/>
      <c r="G390" s="186"/>
      <c r="H390" s="185"/>
      <c r="I390" s="185"/>
      <c r="J390" s="752"/>
      <c r="K390" s="752"/>
      <c r="L390" s="185"/>
      <c r="M390" s="185"/>
      <c r="N390" s="185"/>
      <c r="O390" s="185"/>
      <c r="P390" s="185"/>
      <c r="Q390" s="185"/>
      <c r="R390" s="185"/>
      <c r="S390" s="185"/>
      <c r="T390" s="185"/>
    </row>
    <row r="391" spans="1:20">
      <c r="A391" s="185"/>
      <c r="B391" s="661"/>
      <c r="C391" s="185"/>
      <c r="D391" s="185"/>
      <c r="E391" s="185"/>
      <c r="F391" s="185"/>
      <c r="G391" s="186"/>
      <c r="H391" s="185"/>
      <c r="I391" s="185"/>
      <c r="J391" s="752"/>
      <c r="K391" s="752"/>
      <c r="L391" s="185"/>
      <c r="M391" s="185"/>
      <c r="N391" s="185"/>
      <c r="O391" s="185"/>
      <c r="P391" s="185"/>
      <c r="Q391" s="185"/>
      <c r="R391" s="185"/>
      <c r="S391" s="185"/>
      <c r="T391" s="185"/>
    </row>
    <row r="392" spans="1:20">
      <c r="A392" s="185"/>
      <c r="B392" s="661"/>
      <c r="C392" s="185"/>
      <c r="D392" s="185"/>
      <c r="E392" s="185"/>
      <c r="F392" s="185"/>
      <c r="G392" s="186"/>
      <c r="H392" s="185"/>
      <c r="I392" s="185"/>
      <c r="J392" s="752"/>
      <c r="K392" s="752"/>
      <c r="L392" s="185"/>
      <c r="M392" s="185"/>
      <c r="N392" s="185"/>
      <c r="O392" s="185"/>
      <c r="P392" s="185"/>
      <c r="Q392" s="185"/>
      <c r="R392" s="185"/>
      <c r="S392" s="185"/>
      <c r="T392" s="185"/>
    </row>
    <row r="393" spans="1:20">
      <c r="A393" s="185"/>
      <c r="B393" s="661"/>
      <c r="C393" s="185"/>
      <c r="D393" s="185"/>
      <c r="E393" s="185"/>
      <c r="F393" s="185"/>
      <c r="G393" s="186"/>
      <c r="H393" s="185"/>
      <c r="I393" s="185"/>
      <c r="J393" s="752"/>
      <c r="K393" s="752"/>
      <c r="L393" s="185"/>
      <c r="M393" s="185"/>
      <c r="N393" s="185"/>
      <c r="O393" s="185"/>
      <c r="P393" s="185"/>
      <c r="Q393" s="185"/>
      <c r="R393" s="185"/>
      <c r="S393" s="185"/>
      <c r="T393" s="185"/>
    </row>
    <row r="394" spans="1:20">
      <c r="A394" s="185"/>
      <c r="B394" s="661"/>
      <c r="C394" s="185"/>
      <c r="D394" s="185"/>
      <c r="E394" s="185"/>
      <c r="F394" s="185"/>
      <c r="G394" s="186"/>
      <c r="H394" s="185"/>
      <c r="I394" s="185"/>
      <c r="J394" s="752"/>
      <c r="K394" s="752"/>
      <c r="L394" s="185"/>
      <c r="M394" s="185"/>
      <c r="N394" s="185"/>
      <c r="O394" s="185"/>
      <c r="P394" s="185"/>
      <c r="Q394" s="185"/>
      <c r="R394" s="185"/>
      <c r="S394" s="185"/>
      <c r="T394" s="185"/>
    </row>
    <row r="395" spans="1:20">
      <c r="A395" s="185"/>
      <c r="B395" s="661"/>
      <c r="C395" s="185"/>
      <c r="D395" s="185"/>
      <c r="E395" s="185"/>
      <c r="F395" s="185"/>
      <c r="G395" s="186"/>
      <c r="H395" s="185"/>
      <c r="I395" s="185"/>
      <c r="J395" s="752"/>
      <c r="K395" s="752"/>
      <c r="L395" s="185"/>
      <c r="M395" s="185"/>
      <c r="N395" s="185"/>
      <c r="O395" s="185"/>
      <c r="P395" s="185"/>
      <c r="Q395" s="185"/>
      <c r="R395" s="185"/>
      <c r="S395" s="185"/>
      <c r="T395" s="185"/>
    </row>
    <row r="396" spans="1:20">
      <c r="A396" s="185"/>
      <c r="B396" s="661"/>
      <c r="C396" s="185"/>
      <c r="D396" s="185"/>
      <c r="E396" s="185"/>
      <c r="F396" s="185"/>
      <c r="G396" s="186"/>
      <c r="H396" s="185"/>
      <c r="I396" s="185"/>
      <c r="J396" s="752"/>
      <c r="K396" s="752"/>
      <c r="L396" s="185"/>
      <c r="M396" s="185"/>
      <c r="N396" s="185"/>
      <c r="O396" s="185"/>
      <c r="P396" s="185"/>
      <c r="Q396" s="185"/>
      <c r="R396" s="185"/>
      <c r="S396" s="185"/>
      <c r="T396" s="185"/>
    </row>
    <row r="397" spans="1:20">
      <c r="A397" s="185"/>
      <c r="B397" s="661"/>
      <c r="C397" s="185"/>
      <c r="D397" s="185"/>
      <c r="E397" s="185"/>
      <c r="F397" s="185"/>
      <c r="G397" s="186"/>
      <c r="H397" s="185"/>
      <c r="I397" s="185"/>
      <c r="J397" s="752"/>
      <c r="K397" s="752"/>
      <c r="L397" s="185"/>
      <c r="M397" s="185"/>
      <c r="N397" s="185"/>
      <c r="O397" s="185"/>
      <c r="P397" s="185"/>
      <c r="Q397" s="185"/>
      <c r="R397" s="185"/>
      <c r="S397" s="185"/>
      <c r="T397" s="185"/>
    </row>
    <row r="398" spans="1:20">
      <c r="A398" s="185"/>
      <c r="B398" s="661"/>
      <c r="C398" s="185"/>
      <c r="D398" s="185"/>
      <c r="E398" s="185"/>
      <c r="F398" s="185"/>
      <c r="G398" s="186"/>
      <c r="H398" s="185"/>
      <c r="I398" s="185"/>
      <c r="J398" s="752"/>
      <c r="K398" s="752"/>
      <c r="L398" s="185"/>
      <c r="M398" s="185"/>
      <c r="N398" s="185"/>
      <c r="O398" s="185"/>
      <c r="P398" s="185"/>
      <c r="Q398" s="185"/>
      <c r="R398" s="185"/>
      <c r="S398" s="185"/>
      <c r="T398" s="185"/>
    </row>
    <row r="399" spans="1:20">
      <c r="A399" s="185"/>
      <c r="B399" s="661"/>
      <c r="C399" s="185"/>
      <c r="D399" s="185"/>
      <c r="E399" s="185"/>
      <c r="F399" s="185"/>
      <c r="G399" s="186"/>
      <c r="H399" s="185"/>
      <c r="I399" s="185"/>
      <c r="J399" s="752"/>
      <c r="K399" s="752"/>
      <c r="L399" s="185"/>
      <c r="M399" s="185"/>
      <c r="N399" s="185"/>
      <c r="O399" s="185"/>
      <c r="P399" s="185"/>
      <c r="Q399" s="185"/>
      <c r="R399" s="185"/>
      <c r="S399" s="185"/>
      <c r="T399" s="185"/>
    </row>
    <row r="400" spans="1:20">
      <c r="A400" s="185"/>
      <c r="B400" s="661"/>
      <c r="C400" s="185"/>
      <c r="D400" s="185"/>
      <c r="E400" s="185"/>
      <c r="F400" s="185"/>
      <c r="G400" s="186"/>
      <c r="H400" s="185"/>
      <c r="I400" s="185"/>
      <c r="J400" s="752"/>
      <c r="K400" s="752"/>
      <c r="L400" s="185"/>
      <c r="M400" s="185"/>
      <c r="N400" s="185"/>
      <c r="O400" s="185"/>
      <c r="P400" s="185"/>
      <c r="Q400" s="185"/>
      <c r="R400" s="185"/>
      <c r="S400" s="185"/>
      <c r="T400" s="185"/>
    </row>
    <row r="401" spans="1:20">
      <c r="A401" s="185"/>
      <c r="B401" s="661"/>
      <c r="C401" s="185"/>
      <c r="D401" s="185"/>
      <c r="E401" s="185"/>
      <c r="F401" s="185"/>
      <c r="G401" s="186"/>
      <c r="H401" s="185"/>
      <c r="I401" s="185"/>
      <c r="J401" s="752"/>
      <c r="K401" s="752"/>
      <c r="L401" s="185"/>
      <c r="M401" s="185"/>
      <c r="N401" s="185"/>
      <c r="O401" s="185"/>
      <c r="P401" s="185"/>
      <c r="Q401" s="185"/>
      <c r="R401" s="185"/>
      <c r="S401" s="185"/>
      <c r="T401" s="185"/>
    </row>
    <row r="402" spans="1:20">
      <c r="A402" s="185"/>
      <c r="B402" s="661"/>
      <c r="C402" s="185"/>
      <c r="D402" s="185"/>
      <c r="E402" s="185"/>
      <c r="F402" s="185"/>
      <c r="G402" s="186"/>
      <c r="H402" s="185"/>
      <c r="I402" s="185"/>
      <c r="J402" s="752"/>
      <c r="K402" s="752"/>
      <c r="L402" s="185"/>
      <c r="M402" s="185"/>
      <c r="N402" s="185"/>
      <c r="O402" s="185"/>
      <c r="P402" s="185"/>
      <c r="Q402" s="185"/>
      <c r="R402" s="185"/>
      <c r="S402" s="185"/>
      <c r="T402" s="185"/>
    </row>
  </sheetData>
  <mergeCells count="8">
    <mergeCell ref="D53:G53"/>
    <mergeCell ref="D54:G54"/>
    <mergeCell ref="D3:G3"/>
    <mergeCell ref="D5:G5"/>
    <mergeCell ref="D6:G6"/>
    <mergeCell ref="D7:G7"/>
    <mergeCell ref="D50:G50"/>
    <mergeCell ref="D52:G52"/>
  </mergeCells>
  <conditionalFormatting sqref="G12:G15 G19:G23 G27:G30 G34:G41 G59:G63 G69:G79 G67">
    <cfRule type="expression" dxfId="20" priority="1" stopIfTrue="1">
      <formula>$G$9="Estimated"</formula>
    </cfRule>
  </conditionalFormatting>
  <hyperlinks>
    <hyperlink ref="J12:K12" location="Attach19!A1" tooltip="Click to Open Notes" display="Attach19!A1"/>
    <hyperlink ref="J13:K15" location="Attach19!A1" tooltip="Click to open Notes" display="Attach19!A1"/>
    <hyperlink ref="J19:K23" location="Attach19!A1" tooltip="Click to open Notes" display="Attach19!A1"/>
    <hyperlink ref="J27:K30" location="Attach19!A1" tooltip="Click to open Notes" display="Attach19!A1"/>
    <hyperlink ref="J34:K41" location="Attach19!A1" tooltip="Click to open Notes" display="Attach19!A1"/>
    <hyperlink ref="J59:K63" location="Attach19!A1" tooltip="Click to open Notes" display="Attach19!A1"/>
    <hyperlink ref="J67:K67" location="Attach19!A1" tooltip="Click to open Notes" display="Attach19!A1"/>
    <hyperlink ref="J69:K79" location="Attach19!A1" tooltip="Click to open Notes" display="Attach19!A1"/>
  </hyperlinks>
  <printOptions horizontalCentered="1"/>
  <pageMargins left="0" right="0" top="0" bottom="0" header="0" footer="0"/>
  <pageSetup scale="71" orientation="landscape" blackAndWhite="1" r:id="rId1"/>
  <headerFooter alignWithMargins="0"/>
  <rowBreaks count="1" manualBreakCount="1">
    <brk id="47" max="16383" man="1"/>
  </rowBreaks>
  <legacyDrawing r:id="rId2"/>
  <controls>
    <control shapeId="15368" r:id="rId3" name="Label2"/>
    <control shapeId="15367" r:id="rId4" name="Label1"/>
    <control shapeId="15361" r:id="rId5" name="cmdTop1"/>
  </controls>
</worksheet>
</file>

<file path=xl/worksheets/sheet22.xml><?xml version="1.0" encoding="utf-8"?>
<worksheet xmlns="http://schemas.openxmlformats.org/spreadsheetml/2006/main" xmlns:r="http://schemas.openxmlformats.org/officeDocument/2006/relationships">
  <sheetPr codeName="Sheet29"/>
  <dimension ref="A1:U264"/>
  <sheetViews>
    <sheetView showGridLines="0" zoomScale="85" zoomScaleNormal="85" workbookViewId="0">
      <selection activeCell="K40" sqref="K40"/>
    </sheetView>
  </sheetViews>
  <sheetFormatPr defaultColWidth="10.28515625" defaultRowHeight="12.75"/>
  <cols>
    <col min="1" max="1" width="10.28515625" style="91"/>
    <col min="2" max="2" width="10.28515625" style="129" customWidth="1"/>
    <col min="3" max="3" width="45" style="91" customWidth="1"/>
    <col min="4" max="6" width="15.7109375" style="91" customWidth="1"/>
    <col min="7" max="7" width="15.7109375" style="90" customWidth="1"/>
    <col min="8" max="9" width="15.7109375" style="91" customWidth="1"/>
    <col min="10" max="10" width="12.85546875" style="131" customWidth="1"/>
    <col min="11" max="11" width="12.140625" style="131" customWidth="1"/>
    <col min="12" max="21" width="10.28515625" style="91"/>
    <col min="22" max="22" width="10.28515625" style="91" customWidth="1"/>
    <col min="23" max="23" width="45" style="91" customWidth="1"/>
    <col min="24" max="29" width="15.7109375" style="91" customWidth="1"/>
    <col min="30" max="30" width="12.85546875" style="91" customWidth="1"/>
    <col min="31" max="31" width="12.140625" style="91" customWidth="1"/>
    <col min="32" max="16384" width="10.28515625" style="91"/>
  </cols>
  <sheetData>
    <row r="1" spans="1:21">
      <c r="A1" s="185"/>
      <c r="B1" s="930" t="str">
        <f>Data!H3 &amp; " Test Year"</f>
        <v>2015 Test Year</v>
      </c>
      <c r="C1" s="821"/>
      <c r="D1" s="821"/>
      <c r="E1" s="821"/>
      <c r="F1" s="821"/>
      <c r="G1" s="821"/>
      <c r="H1" s="665"/>
      <c r="I1" s="665"/>
      <c r="J1" s="665"/>
      <c r="K1" s="666" t="s">
        <v>524</v>
      </c>
      <c r="L1" s="185"/>
      <c r="M1" s="185"/>
      <c r="N1" s="185"/>
      <c r="O1" s="185"/>
      <c r="P1" s="185"/>
      <c r="Q1" s="185"/>
      <c r="R1" s="185"/>
      <c r="S1" s="185"/>
      <c r="T1" s="185"/>
      <c r="U1" s="185"/>
    </row>
    <row r="2" spans="1:21">
      <c r="A2" s="185"/>
      <c r="B2" s="822"/>
      <c r="C2" s="821"/>
      <c r="D2" s="1983" t="str">
        <f>Utility</f>
        <v>MADISON WATER UTILITY</v>
      </c>
      <c r="E2" s="1984"/>
      <c r="F2" s="1984"/>
      <c r="G2" s="1984"/>
      <c r="H2" s="665"/>
      <c r="I2" s="666"/>
      <c r="J2" s="773"/>
      <c r="K2" s="666"/>
      <c r="L2" s="185"/>
      <c r="M2" s="185"/>
      <c r="N2" s="185"/>
      <c r="O2" s="185"/>
      <c r="P2" s="185"/>
      <c r="Q2" s="185"/>
      <c r="R2" s="185"/>
      <c r="S2" s="185"/>
      <c r="T2" s="185"/>
      <c r="U2" s="185"/>
    </row>
    <row r="3" spans="1:21">
      <c r="A3" s="185"/>
      <c r="B3" s="823"/>
      <c r="C3" s="823"/>
      <c r="D3" s="821"/>
      <c r="E3" s="821"/>
      <c r="F3" s="821"/>
      <c r="G3" s="821"/>
      <c r="H3" s="667"/>
      <c r="I3" s="667"/>
      <c r="J3" s="774"/>
      <c r="K3" s="774"/>
      <c r="L3" s="185"/>
      <c r="M3" s="185"/>
      <c r="N3" s="185"/>
      <c r="O3" s="185"/>
      <c r="P3" s="185"/>
      <c r="Q3" s="185"/>
      <c r="R3" s="185"/>
      <c r="S3" s="185"/>
      <c r="T3" s="185"/>
      <c r="U3" s="185"/>
    </row>
    <row r="4" spans="1:21">
      <c r="A4" s="185"/>
      <c r="B4" s="823"/>
      <c r="C4" s="821"/>
      <c r="D4" s="1985" t="s">
        <v>526</v>
      </c>
      <c r="E4" s="1984"/>
      <c r="F4" s="1984"/>
      <c r="G4" s="1984"/>
      <c r="H4" s="665"/>
      <c r="I4" s="665"/>
      <c r="J4" s="773"/>
      <c r="K4" s="773"/>
      <c r="L4" s="185"/>
      <c r="M4" s="185"/>
      <c r="N4" s="185"/>
      <c r="O4" s="185"/>
      <c r="P4" s="185"/>
      <c r="Q4" s="185"/>
      <c r="R4" s="185"/>
      <c r="S4" s="185"/>
      <c r="T4" s="185"/>
      <c r="U4" s="185"/>
    </row>
    <row r="5" spans="1:21" ht="13.5" thickBot="1">
      <c r="A5" s="185"/>
      <c r="B5" s="824"/>
      <c r="C5" s="821" t="s">
        <v>527</v>
      </c>
      <c r="D5" s="1986" t="str">
        <f>CONCATENATE("Estimated for Test Year ",TestYear)</f>
        <v>Estimated for Test Year 2015</v>
      </c>
      <c r="E5" s="1987"/>
      <c r="F5" s="1987"/>
      <c r="G5" s="1987"/>
      <c r="H5" s="776"/>
      <c r="I5" s="776"/>
      <c r="J5" s="775"/>
      <c r="K5" s="775"/>
      <c r="L5" s="185"/>
      <c r="M5" s="185"/>
      <c r="N5" s="185"/>
      <c r="O5" s="185"/>
      <c r="P5" s="185"/>
      <c r="Q5" s="185"/>
      <c r="R5" s="185"/>
      <c r="S5" s="185"/>
      <c r="T5" s="185"/>
      <c r="U5" s="185"/>
    </row>
    <row r="6" spans="1:21" ht="13.5" thickTop="1">
      <c r="A6" s="185"/>
      <c r="B6" s="793"/>
      <c r="C6" s="794"/>
      <c r="D6" s="1993"/>
      <c r="E6" s="1994"/>
      <c r="F6" s="1994"/>
      <c r="G6" s="1994"/>
      <c r="H6" s="691"/>
      <c r="I6" s="691"/>
      <c r="J6" s="794"/>
      <c r="K6" s="794"/>
      <c r="L6" s="368"/>
      <c r="M6" s="185"/>
      <c r="N6" s="185"/>
      <c r="O6" s="185"/>
      <c r="P6" s="185"/>
      <c r="Q6" s="185"/>
      <c r="R6" s="185"/>
      <c r="S6" s="185"/>
      <c r="T6" s="185"/>
      <c r="U6" s="185"/>
    </row>
    <row r="7" spans="1:21">
      <c r="A7" s="185"/>
      <c r="B7" s="795"/>
      <c r="C7" s="796"/>
      <c r="D7" s="797"/>
      <c r="E7" s="798"/>
      <c r="F7" s="798"/>
      <c r="G7" s="799"/>
      <c r="H7" s="799"/>
      <c r="I7" s="800" t="str">
        <f>IF(Data!H5="Actual",CONCATENATE(D9,", ",E9,", ",F9,", ",G9),CONCATENATE(D9,", ",E9,", ",F9))</f>
        <v>2011, 2012, 2013</v>
      </c>
      <c r="J7" s="801"/>
      <c r="K7" s="802"/>
      <c r="L7" s="370"/>
      <c r="M7" s="185"/>
      <c r="N7" s="185"/>
      <c r="O7" s="185"/>
      <c r="P7" s="185"/>
      <c r="Q7" s="185"/>
      <c r="R7" s="185"/>
      <c r="S7" s="185"/>
      <c r="T7" s="185"/>
      <c r="U7" s="185"/>
    </row>
    <row r="8" spans="1:21">
      <c r="A8" s="185"/>
      <c r="B8" s="795" t="s">
        <v>528</v>
      </c>
      <c r="C8" s="796"/>
      <c r="D8" s="797"/>
      <c r="E8" s="798"/>
      <c r="F8" s="798"/>
      <c r="G8" s="803" t="str">
        <f>Data!H5</f>
        <v>Estimated</v>
      </c>
      <c r="H8" s="804" t="s">
        <v>396</v>
      </c>
      <c r="I8" s="800" t="str">
        <f>IF(Data!H5="Actual","4 Year","3 Year")</f>
        <v>3 Year</v>
      </c>
      <c r="J8" s="805" t="str">
        <f>G8</f>
        <v>Estimated</v>
      </c>
      <c r="K8" s="805" t="s">
        <v>396</v>
      </c>
      <c r="L8" s="370"/>
      <c r="M8" s="185"/>
      <c r="N8" s="185"/>
      <c r="O8" s="185"/>
      <c r="P8" s="185"/>
      <c r="Q8" s="185"/>
      <c r="R8" s="185"/>
      <c r="S8" s="185"/>
      <c r="T8" s="185"/>
      <c r="U8" s="185"/>
    </row>
    <row r="9" spans="1:21">
      <c r="A9" s="185"/>
      <c r="B9" s="806" t="s">
        <v>529</v>
      </c>
      <c r="C9" s="789" t="s">
        <v>398</v>
      </c>
      <c r="D9" s="790">
        <f>TestYear-4</f>
        <v>2011</v>
      </c>
      <c r="E9" s="790">
        <f>TestYear-3</f>
        <v>2012</v>
      </c>
      <c r="F9" s="790">
        <f>TestYear-2</f>
        <v>2013</v>
      </c>
      <c r="G9" s="790">
        <f>TestYear-1</f>
        <v>2014</v>
      </c>
      <c r="H9" s="791">
        <f>TestYear</f>
        <v>2015</v>
      </c>
      <c r="I9" s="790" t="s">
        <v>256</v>
      </c>
      <c r="J9" s="784">
        <f>TestYear-1</f>
        <v>2014</v>
      </c>
      <c r="K9" s="784">
        <f>TestYear</f>
        <v>2015</v>
      </c>
      <c r="L9" s="370"/>
      <c r="M9" s="185"/>
      <c r="N9" s="185"/>
      <c r="O9" s="185"/>
      <c r="P9" s="185"/>
      <c r="Q9" s="185"/>
      <c r="R9" s="185"/>
      <c r="S9" s="185"/>
      <c r="T9" s="185"/>
      <c r="U9" s="185"/>
    </row>
    <row r="10" spans="1:21">
      <c r="A10" s="185"/>
      <c r="B10" s="807" t="s">
        <v>530</v>
      </c>
      <c r="C10" s="780"/>
      <c r="D10" s="854" t="s">
        <v>531</v>
      </c>
      <c r="E10" s="919"/>
      <c r="F10" s="919"/>
      <c r="G10" s="673"/>
      <c r="H10" s="673"/>
      <c r="I10" s="781" t="s">
        <v>531</v>
      </c>
      <c r="J10" s="801" t="s">
        <v>532</v>
      </c>
      <c r="K10" s="810"/>
      <c r="L10" s="370"/>
      <c r="M10" s="185"/>
      <c r="N10" s="185"/>
      <c r="O10" s="185"/>
      <c r="P10" s="185"/>
      <c r="Q10" s="185"/>
      <c r="R10" s="185"/>
      <c r="S10" s="185"/>
      <c r="T10" s="185"/>
      <c r="U10" s="185"/>
    </row>
    <row r="11" spans="1:21" ht="15">
      <c r="A11" s="185"/>
      <c r="B11" s="811">
        <v>600</v>
      </c>
      <c r="C11" s="792" t="s">
        <v>910</v>
      </c>
      <c r="D11" s="749">
        <f>Data!B21</f>
        <v>0</v>
      </c>
      <c r="E11" s="749">
        <f>Data!C21</f>
        <v>0</v>
      </c>
      <c r="F11" s="825">
        <f>Data!D21</f>
        <v>0</v>
      </c>
      <c r="G11" s="744">
        <f>Data!E21</f>
        <v>0</v>
      </c>
      <c r="H11" s="887">
        <v>0</v>
      </c>
      <c r="I11" s="825">
        <f>IF(Data!$H$5="Actual", SUM(D11+E11+F11+G11)/4, SUM(D11+E11+F11)/3)</f>
        <v>0</v>
      </c>
      <c r="J11" s="840" t="str">
        <f>IF(I11&lt;&gt;0,IF((G11-I11)/I11&gt;0.15,"Explain",IF((G11-I11)/I11&lt;-0.15,"Explain","")),"")</f>
        <v/>
      </c>
      <c r="K11" s="840" t="str">
        <f t="shared" ref="K11:K17" si="0">IF(I11&lt;&gt;0,IF((H11-I11)/I11&gt;0.15,"Explain",IF((H11-I11)/I11&lt; -0.15,"Explain","")),"")</f>
        <v/>
      </c>
      <c r="L11" s="370"/>
      <c r="M11" s="185"/>
      <c r="N11" s="185"/>
      <c r="O11" s="185"/>
      <c r="P11" s="185"/>
      <c r="Q11" s="185"/>
      <c r="R11" s="185"/>
      <c r="S11" s="185"/>
      <c r="T11" s="185"/>
      <c r="U11" s="185"/>
    </row>
    <row r="12" spans="1:21" ht="15">
      <c r="A12" s="185"/>
      <c r="B12" s="811">
        <v>610</v>
      </c>
      <c r="C12" s="792" t="s">
        <v>534</v>
      </c>
      <c r="D12" s="683">
        <f>Data!B22</f>
        <v>0</v>
      </c>
      <c r="E12" s="683">
        <f>Data!C22</f>
        <v>0</v>
      </c>
      <c r="F12" s="828">
        <f>Data!D22</f>
        <v>0</v>
      </c>
      <c r="G12" s="687">
        <f>Data!E22</f>
        <v>0</v>
      </c>
      <c r="H12" s="681">
        <v>0</v>
      </c>
      <c r="I12" s="828">
        <f>IF(Data!$H$5="Actual", SUM(D12+E12+F12+G12)/4, SUM(D12+E12+F12)/3)</f>
        <v>0</v>
      </c>
      <c r="J12" s="840" t="str">
        <f t="shared" ref="J12:J17" si="1">IF(I12&lt;&gt;0,IF((G12-I12)/I12&gt;0.15,"Explain",IF((G12-I12)/I12&lt; -0.15,"Explain","")),"")</f>
        <v/>
      </c>
      <c r="K12" s="840" t="str">
        <f t="shared" si="0"/>
        <v/>
      </c>
      <c r="L12" s="370"/>
      <c r="M12" s="185"/>
      <c r="N12" s="185"/>
      <c r="O12" s="185"/>
      <c r="P12" s="185"/>
      <c r="Q12" s="185"/>
      <c r="R12" s="185"/>
      <c r="S12" s="185"/>
      <c r="T12" s="185"/>
      <c r="U12" s="185"/>
    </row>
    <row r="13" spans="1:21" ht="15">
      <c r="A13" s="185"/>
      <c r="B13" s="811">
        <v>620</v>
      </c>
      <c r="C13" s="792" t="s">
        <v>539</v>
      </c>
      <c r="D13" s="683">
        <f>Data!B23</f>
        <v>0</v>
      </c>
      <c r="E13" s="683">
        <f>Data!C23</f>
        <v>0</v>
      </c>
      <c r="F13" s="828">
        <f>Data!D23</f>
        <v>0</v>
      </c>
      <c r="G13" s="687">
        <f>Data!E23</f>
        <v>0</v>
      </c>
      <c r="H13" s="681">
        <v>0</v>
      </c>
      <c r="I13" s="828">
        <f>IF(Data!$H$5="Actual", SUM(D13+E13+F13+G13)/4, SUM(D13+E13+F13)/3)</f>
        <v>0</v>
      </c>
      <c r="J13" s="840" t="str">
        <f t="shared" si="1"/>
        <v/>
      </c>
      <c r="K13" s="840" t="str">
        <f t="shared" si="0"/>
        <v/>
      </c>
      <c r="L13" s="370"/>
      <c r="M13" s="185"/>
      <c r="N13" s="185"/>
      <c r="O13" s="185"/>
      <c r="P13" s="185"/>
      <c r="Q13" s="185"/>
      <c r="R13" s="185"/>
      <c r="S13" s="185"/>
      <c r="T13" s="185"/>
      <c r="U13" s="185"/>
    </row>
    <row r="14" spans="1:21" ht="15">
      <c r="A14" s="185"/>
      <c r="B14" s="811">
        <v>630</v>
      </c>
      <c r="C14" s="792" t="s">
        <v>542</v>
      </c>
      <c r="D14" s="683">
        <f>Data!B24</f>
        <v>0</v>
      </c>
      <c r="E14" s="683">
        <f>Data!C24</f>
        <v>0</v>
      </c>
      <c r="F14" s="828">
        <f>Data!D24</f>
        <v>0</v>
      </c>
      <c r="G14" s="687">
        <f>Data!E24</f>
        <v>0</v>
      </c>
      <c r="H14" s="681">
        <v>0</v>
      </c>
      <c r="I14" s="828">
        <f>IF(Data!$H$5="Actual", SUM(D14+E14+F14+G14)/4, SUM(D14+E14+F14)/3)</f>
        <v>0</v>
      </c>
      <c r="J14" s="840" t="str">
        <f t="shared" si="1"/>
        <v/>
      </c>
      <c r="K14" s="840" t="str">
        <f t="shared" si="0"/>
        <v/>
      </c>
      <c r="L14" s="370"/>
      <c r="M14" s="185"/>
      <c r="N14" s="185"/>
      <c r="O14" s="185"/>
      <c r="P14" s="185"/>
      <c r="Q14" s="185"/>
      <c r="R14" s="185"/>
      <c r="S14" s="185"/>
      <c r="T14" s="185"/>
      <c r="U14" s="185"/>
    </row>
    <row r="15" spans="1:21" ht="15">
      <c r="A15" s="185"/>
      <c r="B15" s="811">
        <v>640</v>
      </c>
      <c r="C15" s="792" t="s">
        <v>555</v>
      </c>
      <c r="D15" s="683">
        <f>Data!B25</f>
        <v>0</v>
      </c>
      <c r="E15" s="683">
        <f>Data!C25</f>
        <v>0</v>
      </c>
      <c r="F15" s="828">
        <f>Data!D25</f>
        <v>0</v>
      </c>
      <c r="G15" s="687">
        <f>Data!E25</f>
        <v>0</v>
      </c>
      <c r="H15" s="681">
        <v>0</v>
      </c>
      <c r="I15" s="828">
        <f>IF(Data!$H$5="Actual", SUM(D15+E15+F15+G15)/4, SUM(D15+E15+F15)/3)</f>
        <v>0</v>
      </c>
      <c r="J15" s="840" t="str">
        <f t="shared" si="1"/>
        <v/>
      </c>
      <c r="K15" s="840" t="str">
        <f t="shared" si="0"/>
        <v/>
      </c>
      <c r="L15" s="370"/>
      <c r="M15" s="303"/>
      <c r="N15" s="185"/>
      <c r="O15" s="185"/>
      <c r="P15" s="185"/>
      <c r="Q15" s="185"/>
      <c r="R15" s="185"/>
      <c r="S15" s="185"/>
      <c r="T15" s="185"/>
      <c r="U15" s="185"/>
    </row>
    <row r="16" spans="1:21" ht="15">
      <c r="A16" s="185"/>
      <c r="B16" s="811">
        <v>650</v>
      </c>
      <c r="C16" s="792" t="s">
        <v>911</v>
      </c>
      <c r="D16" s="683">
        <f>Data!B26</f>
        <v>22773</v>
      </c>
      <c r="E16" s="683">
        <f>Data!C26</f>
        <v>25376</v>
      </c>
      <c r="F16" s="828">
        <f>Data!D26</f>
        <v>16620</v>
      </c>
      <c r="G16" s="687">
        <f>Data!E26</f>
        <v>0</v>
      </c>
      <c r="H16" s="681">
        <v>0</v>
      </c>
      <c r="I16" s="828">
        <f>IF(Data!$H$5="Actual", SUM(D16+E16+F16+G16)/4, SUM(D16+E16+F16)/3)</f>
        <v>21589.666666666668</v>
      </c>
      <c r="J16" s="840" t="str">
        <f t="shared" si="1"/>
        <v>Explain</v>
      </c>
      <c r="K16" s="840" t="str">
        <f t="shared" si="0"/>
        <v>Explain</v>
      </c>
      <c r="L16" s="370"/>
      <c r="M16" s="303"/>
      <c r="N16" s="185"/>
      <c r="O16" s="185"/>
      <c r="P16" s="185"/>
      <c r="Q16" s="185"/>
      <c r="R16" s="185"/>
      <c r="S16" s="185"/>
      <c r="T16" s="185"/>
      <c r="U16" s="185"/>
    </row>
    <row r="17" spans="1:21" ht="14.25" customHeight="1">
      <c r="A17" s="185"/>
      <c r="B17" s="811">
        <v>660</v>
      </c>
      <c r="C17" s="792" t="s">
        <v>569</v>
      </c>
      <c r="D17" s="684">
        <f>Data!B27</f>
        <v>0</v>
      </c>
      <c r="E17" s="684">
        <f>Data!C27</f>
        <v>0</v>
      </c>
      <c r="F17" s="831">
        <f>Data!D27</f>
        <v>0</v>
      </c>
      <c r="G17" s="925">
        <f>Data!E27</f>
        <v>0</v>
      </c>
      <c r="H17" s="681">
        <v>0</v>
      </c>
      <c r="I17" s="831">
        <f>IF(Data!$H$5="Actual", SUM(D17+E17+F17+G17)/4, SUM(D17+E17+F17)/3)</f>
        <v>0</v>
      </c>
      <c r="J17" s="840" t="str">
        <f t="shared" si="1"/>
        <v/>
      </c>
      <c r="K17" s="840" t="str">
        <f t="shared" si="0"/>
        <v/>
      </c>
      <c r="L17" s="370"/>
      <c r="M17" s="185"/>
      <c r="N17" s="185"/>
      <c r="O17" s="185"/>
      <c r="P17" s="185"/>
      <c r="Q17" s="185"/>
      <c r="R17" s="185"/>
      <c r="S17" s="185"/>
      <c r="T17" s="185"/>
      <c r="U17" s="185"/>
    </row>
    <row r="18" spans="1:21" ht="17.649999999999999" customHeight="1">
      <c r="A18" s="185"/>
      <c r="B18" s="811"/>
      <c r="C18" s="792"/>
      <c r="D18" s="828"/>
      <c r="E18" s="828"/>
      <c r="F18" s="828"/>
      <c r="G18" s="926"/>
      <c r="H18" s="926"/>
      <c r="I18" s="826"/>
      <c r="J18" s="843"/>
      <c r="K18" s="843"/>
      <c r="L18" s="370"/>
      <c r="M18" s="185"/>
      <c r="N18" s="185"/>
      <c r="O18" s="185"/>
      <c r="P18" s="185"/>
      <c r="Q18" s="185"/>
      <c r="R18" s="185"/>
      <c r="S18" s="185"/>
      <c r="T18" s="185"/>
      <c r="U18" s="185"/>
    </row>
    <row r="19" spans="1:21" ht="15">
      <c r="A19" s="185"/>
      <c r="B19" s="811"/>
      <c r="C19" s="792" t="s">
        <v>912</v>
      </c>
      <c r="D19" s="834">
        <f t="shared" ref="D19:I19" si="2">SUM(D11:D17)</f>
        <v>22773</v>
      </c>
      <c r="E19" s="834">
        <f t="shared" si="2"/>
        <v>25376</v>
      </c>
      <c r="F19" s="834">
        <f t="shared" si="2"/>
        <v>16620</v>
      </c>
      <c r="G19" s="834">
        <f t="shared" si="2"/>
        <v>0</v>
      </c>
      <c r="H19" s="834">
        <f t="shared" si="2"/>
        <v>0</v>
      </c>
      <c r="I19" s="834">
        <f t="shared" si="2"/>
        <v>21589.666666666668</v>
      </c>
      <c r="J19" s="884"/>
      <c r="K19" s="843"/>
      <c r="L19" s="370"/>
      <c r="M19" s="185"/>
      <c r="N19" s="185"/>
      <c r="O19" s="185"/>
      <c r="P19" s="185"/>
      <c r="Q19" s="185"/>
      <c r="R19" s="185"/>
      <c r="S19" s="185"/>
      <c r="T19" s="185"/>
      <c r="U19" s="185"/>
    </row>
    <row r="20" spans="1:21" ht="15">
      <c r="A20" s="185"/>
      <c r="B20" s="811"/>
      <c r="C20" s="792"/>
      <c r="D20" s="828"/>
      <c r="E20" s="828"/>
      <c r="F20" s="828"/>
      <c r="G20" s="687"/>
      <c r="H20" s="687"/>
      <c r="I20" s="829"/>
      <c r="J20" s="884"/>
      <c r="K20" s="843"/>
      <c r="L20" s="370"/>
      <c r="M20" s="185"/>
      <c r="N20" s="185"/>
      <c r="O20" s="185"/>
      <c r="P20" s="185"/>
      <c r="Q20" s="185"/>
      <c r="R20" s="185"/>
      <c r="S20" s="185"/>
      <c r="T20" s="185"/>
      <c r="U20" s="185"/>
    </row>
    <row r="21" spans="1:21" ht="15">
      <c r="A21" s="185"/>
      <c r="B21" s="811">
        <v>680</v>
      </c>
      <c r="C21" s="792" t="s">
        <v>560</v>
      </c>
      <c r="D21" s="825">
        <f>Data!B28</f>
        <v>54512</v>
      </c>
      <c r="E21" s="825">
        <f>Data!C28</f>
        <v>34631</v>
      </c>
      <c r="F21" s="825">
        <f>Data!D28</f>
        <v>43467</v>
      </c>
      <c r="G21" s="744">
        <f>Data!E28</f>
        <v>0</v>
      </c>
      <c r="H21" s="887">
        <v>0</v>
      </c>
      <c r="I21" s="825">
        <f>IF(Data!$H$5="Actual", SUM(D21+E21+F21+G21)/4, SUM(D21+E21+F21)/3)</f>
        <v>44203.333333333336</v>
      </c>
      <c r="J21" s="840" t="str">
        <f t="shared" ref="J21:J29" si="3">IF(I21&lt;&gt;0,IF((G21-I21)/I21&gt;0.15,"Explain",IF((G21-I21)/I21&lt; -0.15,"Explain","")),"")</f>
        <v>Explain</v>
      </c>
      <c r="K21" s="928" t="str">
        <f t="shared" ref="K21:K29" si="4">IF(I21&lt;&gt;0,IF((H21-I21)/I21&gt;0.15,"Explain",IF((H21-I21)/I21&lt; -0.15,"Explain","")),"")</f>
        <v>Explain</v>
      </c>
      <c r="L21" s="370"/>
      <c r="M21" s="185"/>
      <c r="N21" s="185"/>
      <c r="O21" s="185"/>
      <c r="P21" s="185"/>
      <c r="Q21" s="185"/>
      <c r="R21" s="185"/>
      <c r="S21" s="185"/>
      <c r="T21" s="185"/>
      <c r="U21" s="185"/>
    </row>
    <row r="22" spans="1:21" ht="15">
      <c r="A22" s="185"/>
      <c r="B22" s="811">
        <v>681</v>
      </c>
      <c r="C22" s="792" t="s">
        <v>561</v>
      </c>
      <c r="D22" s="828">
        <f>Data!B29</f>
        <v>0</v>
      </c>
      <c r="E22" s="828">
        <f>Data!C29</f>
        <v>0</v>
      </c>
      <c r="F22" s="828">
        <f>Data!D29</f>
        <v>0</v>
      </c>
      <c r="G22" s="687">
        <f>Data!E29</f>
        <v>0</v>
      </c>
      <c r="H22" s="681">
        <v>0</v>
      </c>
      <c r="I22" s="828">
        <f>IF(Data!$H$5="Actual", SUM(D22+E22+F22+G22)/4, SUM(D22+E22+F22)/3)</f>
        <v>0</v>
      </c>
      <c r="J22" s="840" t="str">
        <f t="shared" si="3"/>
        <v/>
      </c>
      <c r="K22" s="840" t="str">
        <f t="shared" si="4"/>
        <v/>
      </c>
      <c r="L22" s="370"/>
      <c r="M22" s="185"/>
      <c r="N22" s="185"/>
      <c r="O22" s="185"/>
      <c r="P22" s="185"/>
      <c r="Q22" s="185"/>
      <c r="R22" s="185"/>
      <c r="S22" s="185"/>
      <c r="T22" s="185"/>
      <c r="U22" s="185"/>
    </row>
    <row r="23" spans="1:21" ht="15">
      <c r="A23" s="185"/>
      <c r="B23" s="811">
        <v>682</v>
      </c>
      <c r="C23" s="792" t="s">
        <v>563</v>
      </c>
      <c r="D23" s="828">
        <f>Data!B30</f>
        <v>114386</v>
      </c>
      <c r="E23" s="828">
        <f>Data!C30</f>
        <v>0</v>
      </c>
      <c r="F23" s="828">
        <f>Data!D30</f>
        <v>469</v>
      </c>
      <c r="G23" s="687">
        <f>Data!E30</f>
        <v>0</v>
      </c>
      <c r="H23" s="681">
        <v>0</v>
      </c>
      <c r="I23" s="828">
        <f>IF(Data!$H$5="Actual", SUM(D23+E23+F23+G23)/4, SUM(D23+E23+F23)/3)</f>
        <v>38285</v>
      </c>
      <c r="J23" s="840" t="str">
        <f t="shared" si="3"/>
        <v>Explain</v>
      </c>
      <c r="K23" s="840" t="str">
        <f t="shared" si="4"/>
        <v>Explain</v>
      </c>
      <c r="L23" s="370"/>
      <c r="M23" s="185"/>
      <c r="N23" s="185"/>
      <c r="O23" s="185"/>
      <c r="P23" s="185"/>
      <c r="Q23" s="185"/>
      <c r="R23" s="185"/>
      <c r="S23" s="185"/>
      <c r="T23" s="185"/>
      <c r="U23" s="185"/>
    </row>
    <row r="24" spans="1:21" ht="15">
      <c r="A24" s="185"/>
      <c r="B24" s="811">
        <v>684</v>
      </c>
      <c r="C24" s="792" t="s">
        <v>913</v>
      </c>
      <c r="D24" s="828">
        <f>Data!B31</f>
        <v>0</v>
      </c>
      <c r="E24" s="828">
        <f>Data!C31</f>
        <v>0</v>
      </c>
      <c r="F24" s="828">
        <f>Data!D31</f>
        <v>0</v>
      </c>
      <c r="G24" s="687">
        <f>Data!E31</f>
        <v>0</v>
      </c>
      <c r="H24" s="681">
        <v>0</v>
      </c>
      <c r="I24" s="828">
        <f>IF(Data!$H$5="Actual", SUM(D24+E24+F24+G24)/4, SUM(D24+E24+F24)/3)</f>
        <v>0</v>
      </c>
      <c r="J24" s="840" t="str">
        <f t="shared" si="3"/>
        <v/>
      </c>
      <c r="K24" s="840" t="str">
        <f t="shared" si="4"/>
        <v/>
      </c>
      <c r="L24" s="370"/>
      <c r="M24" s="185"/>
      <c r="N24" s="185"/>
      <c r="O24" s="185"/>
      <c r="P24" s="185"/>
      <c r="Q24" s="185"/>
      <c r="R24" s="185"/>
      <c r="S24" s="185"/>
      <c r="T24" s="185"/>
      <c r="U24" s="185"/>
    </row>
    <row r="25" spans="1:21" ht="15">
      <c r="A25" s="185"/>
      <c r="B25" s="811">
        <v>686</v>
      </c>
      <c r="C25" s="792" t="s">
        <v>566</v>
      </c>
      <c r="D25" s="828">
        <f>Data!B32</f>
        <v>904</v>
      </c>
      <c r="E25" s="828">
        <f>Data!C32</f>
        <v>10895</v>
      </c>
      <c r="F25" s="828">
        <f>Data!D32</f>
        <v>3319</v>
      </c>
      <c r="G25" s="687">
        <f>Data!E32</f>
        <v>0</v>
      </c>
      <c r="H25" s="681">
        <v>0</v>
      </c>
      <c r="I25" s="828">
        <f>IF(Data!$H$5="Actual", SUM(D25+E25+F25+G25)/4, SUM(D25+E25+F25)/3)</f>
        <v>5039.333333333333</v>
      </c>
      <c r="J25" s="840" t="str">
        <f t="shared" si="3"/>
        <v>Explain</v>
      </c>
      <c r="K25" s="840" t="str">
        <f t="shared" si="4"/>
        <v>Explain</v>
      </c>
      <c r="L25" s="370"/>
      <c r="M25" s="185"/>
      <c r="N25" s="185"/>
      <c r="O25" s="185"/>
      <c r="P25" s="185"/>
      <c r="Q25" s="185"/>
      <c r="R25" s="185"/>
      <c r="S25" s="185"/>
      <c r="T25" s="185"/>
      <c r="U25" s="185"/>
    </row>
    <row r="26" spans="1:21" ht="15">
      <c r="A26" s="185"/>
      <c r="B26" s="811">
        <v>688</v>
      </c>
      <c r="C26" s="792" t="s">
        <v>567</v>
      </c>
      <c r="D26" s="828">
        <f>Data!B33</f>
        <v>69862</v>
      </c>
      <c r="E26" s="828">
        <f>Data!C33</f>
        <v>62744</v>
      </c>
      <c r="F26" s="828">
        <f>Data!D33</f>
        <v>67225</v>
      </c>
      <c r="G26" s="687">
        <f>Data!E33</f>
        <v>0</v>
      </c>
      <c r="H26" s="681">
        <v>0</v>
      </c>
      <c r="I26" s="828">
        <f>IF(Data!$H$5="Actual", SUM(D26+E26+F26+G26)/4, SUM(D26+E26+F26)/3)</f>
        <v>66610.333333333328</v>
      </c>
      <c r="J26" s="840" t="str">
        <f t="shared" si="3"/>
        <v>Explain</v>
      </c>
      <c r="K26" s="840" t="str">
        <f t="shared" si="4"/>
        <v>Explain</v>
      </c>
      <c r="L26" s="370"/>
      <c r="M26" s="185"/>
      <c r="N26" s="185"/>
      <c r="O26" s="185"/>
      <c r="P26" s="185"/>
      <c r="Q26" s="185"/>
      <c r="R26" s="185"/>
      <c r="S26" s="185"/>
      <c r="T26" s="185"/>
      <c r="U26" s="185"/>
    </row>
    <row r="27" spans="1:21" ht="15">
      <c r="A27" s="185"/>
      <c r="B27" s="811">
        <v>689</v>
      </c>
      <c r="C27" s="792" t="s">
        <v>568</v>
      </c>
      <c r="D27" s="828">
        <f>Data!B34</f>
        <v>0</v>
      </c>
      <c r="E27" s="828">
        <f>Data!C34</f>
        <v>0</v>
      </c>
      <c r="F27" s="828">
        <f>Data!D34</f>
        <v>0</v>
      </c>
      <c r="G27" s="687">
        <f>Data!E34</f>
        <v>0</v>
      </c>
      <c r="H27" s="681">
        <v>0</v>
      </c>
      <c r="I27" s="828">
        <f>IF(Data!$H$5="Actual", SUM(D27+E27+F27+G27)/4, SUM(D27+E27+F27)/3)</f>
        <v>0</v>
      </c>
      <c r="J27" s="840" t="str">
        <f t="shared" si="3"/>
        <v/>
      </c>
      <c r="K27" s="840" t="str">
        <f t="shared" si="4"/>
        <v/>
      </c>
      <c r="L27" s="370"/>
      <c r="M27" s="185"/>
      <c r="N27" s="185"/>
      <c r="O27" s="185"/>
      <c r="P27" s="185"/>
      <c r="Q27" s="185"/>
      <c r="R27" s="185"/>
      <c r="S27" s="185"/>
      <c r="T27" s="185"/>
      <c r="U27" s="185"/>
    </row>
    <row r="28" spans="1:21" ht="15">
      <c r="A28" s="185"/>
      <c r="B28" s="811">
        <v>690</v>
      </c>
      <c r="C28" s="792" t="s">
        <v>556</v>
      </c>
      <c r="D28" s="828">
        <f>Data!B35</f>
        <v>0</v>
      </c>
      <c r="E28" s="828">
        <f>Data!C35</f>
        <v>0</v>
      </c>
      <c r="F28" s="828">
        <f>Data!D35</f>
        <v>0</v>
      </c>
      <c r="G28" s="687">
        <f>Data!E35</f>
        <v>0</v>
      </c>
      <c r="H28" s="681">
        <v>0</v>
      </c>
      <c r="I28" s="828">
        <f>IF(Data!$H$5="Actual", SUM(D28+E28+F28+G28)/4, SUM(D28+E28+F28)/3)</f>
        <v>0</v>
      </c>
      <c r="J28" s="840" t="str">
        <f t="shared" si="3"/>
        <v/>
      </c>
      <c r="K28" s="840" t="str">
        <f t="shared" si="4"/>
        <v/>
      </c>
      <c r="L28" s="370"/>
      <c r="M28" s="185"/>
      <c r="N28" s="185"/>
      <c r="O28" s="185"/>
      <c r="P28" s="185"/>
      <c r="Q28" s="185"/>
      <c r="R28" s="185"/>
      <c r="S28" s="185"/>
      <c r="T28" s="185"/>
      <c r="U28" s="185"/>
    </row>
    <row r="29" spans="1:21" ht="15">
      <c r="A29" s="185"/>
      <c r="B29" s="811">
        <v>691</v>
      </c>
      <c r="C29" s="792" t="s">
        <v>557</v>
      </c>
      <c r="D29" s="831">
        <f>Data!B36</f>
        <v>2216402</v>
      </c>
      <c r="E29" s="831">
        <f>Data!C36</f>
        <v>2315334</v>
      </c>
      <c r="F29" s="831">
        <f>Data!D36</f>
        <v>2333071</v>
      </c>
      <c r="G29" s="925">
        <f>Data!E36</f>
        <v>0</v>
      </c>
      <c r="H29" s="681">
        <v>0</v>
      </c>
      <c r="I29" s="831">
        <f>IF(Data!$H$5="Actual", SUM(D29+E29+F29+G29)/4, SUM(D29+E29+F29)/3)</f>
        <v>2288269</v>
      </c>
      <c r="J29" s="928" t="str">
        <f t="shared" si="3"/>
        <v>Explain</v>
      </c>
      <c r="K29" s="928" t="str">
        <f t="shared" si="4"/>
        <v>Explain</v>
      </c>
      <c r="L29" s="370"/>
      <c r="M29" s="185"/>
      <c r="N29" s="185"/>
      <c r="O29" s="185"/>
      <c r="P29" s="185"/>
      <c r="Q29" s="185"/>
      <c r="R29" s="185"/>
      <c r="S29" s="185"/>
      <c r="T29" s="185"/>
      <c r="U29" s="185"/>
    </row>
    <row r="30" spans="1:21" ht="14.25">
      <c r="A30" s="185"/>
      <c r="B30" s="882"/>
      <c r="C30" s="792"/>
      <c r="D30" s="828"/>
      <c r="E30" s="828"/>
      <c r="F30" s="828"/>
      <c r="G30" s="926"/>
      <c r="H30" s="926"/>
      <c r="I30" s="826"/>
      <c r="J30" s="843"/>
      <c r="K30" s="843"/>
      <c r="L30" s="370"/>
      <c r="M30" s="185"/>
      <c r="N30" s="185"/>
      <c r="O30" s="185"/>
      <c r="P30" s="185"/>
      <c r="Q30" s="185"/>
      <c r="R30" s="185"/>
      <c r="S30" s="185"/>
      <c r="T30" s="185"/>
      <c r="U30" s="185"/>
    </row>
    <row r="31" spans="1:21" ht="14.25">
      <c r="A31" s="185"/>
      <c r="B31" s="882"/>
      <c r="C31" s="792" t="s">
        <v>914</v>
      </c>
      <c r="D31" s="834">
        <f>SUM(D21:D29)</f>
        <v>2456066</v>
      </c>
      <c r="E31" s="834">
        <f>SUM(E21:E29)</f>
        <v>2423604</v>
      </c>
      <c r="F31" s="834">
        <f>SUM(F21:F29)</f>
        <v>2447551</v>
      </c>
      <c r="G31" s="834">
        <f>SUM(G21:G29)</f>
        <v>0</v>
      </c>
      <c r="H31" s="834">
        <f>SUM(H21:H29)</f>
        <v>0</v>
      </c>
      <c r="I31" s="834">
        <f>SUM(I21:I28)</f>
        <v>154138</v>
      </c>
      <c r="J31" s="843"/>
      <c r="K31" s="843"/>
      <c r="L31" s="370"/>
      <c r="M31" s="185"/>
      <c r="N31" s="185"/>
      <c r="O31" s="185"/>
      <c r="P31" s="185"/>
      <c r="Q31" s="185"/>
      <c r="R31" s="185"/>
      <c r="S31" s="185"/>
      <c r="T31" s="185"/>
      <c r="U31" s="185"/>
    </row>
    <row r="32" spans="1:21" ht="14.25">
      <c r="A32" s="185"/>
      <c r="B32" s="882"/>
      <c r="C32" s="792"/>
      <c r="D32" s="828"/>
      <c r="E32" s="828"/>
      <c r="F32" s="828"/>
      <c r="G32" s="687"/>
      <c r="H32" s="687"/>
      <c r="I32" s="829"/>
      <c r="J32" s="843"/>
      <c r="K32" s="843"/>
      <c r="L32" s="370"/>
      <c r="M32" s="185"/>
      <c r="N32" s="185"/>
      <c r="O32" s="185"/>
      <c r="P32" s="185"/>
      <c r="Q32" s="185"/>
      <c r="R32" s="185"/>
      <c r="S32" s="185"/>
      <c r="T32" s="185"/>
      <c r="U32" s="185"/>
    </row>
    <row r="33" spans="1:21" ht="15" thickBot="1">
      <c r="A33" s="185"/>
      <c r="B33" s="882"/>
      <c r="C33" s="792" t="s">
        <v>915</v>
      </c>
      <c r="D33" s="927">
        <f t="shared" ref="D33:I33" si="5">SUM(D19 + D31)</f>
        <v>2478839</v>
      </c>
      <c r="E33" s="927">
        <f t="shared" si="5"/>
        <v>2448980</v>
      </c>
      <c r="F33" s="927">
        <f t="shared" si="5"/>
        <v>2464171</v>
      </c>
      <c r="G33" s="927">
        <f t="shared" si="5"/>
        <v>0</v>
      </c>
      <c r="H33" s="927">
        <f t="shared" si="5"/>
        <v>0</v>
      </c>
      <c r="I33" s="927">
        <f t="shared" si="5"/>
        <v>175727.66666666666</v>
      </c>
      <c r="J33" s="884"/>
      <c r="K33" s="884"/>
      <c r="L33" s="370"/>
      <c r="M33" s="185"/>
      <c r="N33" s="185"/>
      <c r="O33" s="185"/>
      <c r="P33" s="185"/>
      <c r="Q33" s="185"/>
      <c r="R33" s="185"/>
      <c r="S33" s="185"/>
      <c r="T33" s="185"/>
      <c r="U33" s="185"/>
    </row>
    <row r="34" spans="1:21" ht="15" thickTop="1">
      <c r="A34" s="185"/>
      <c r="B34" s="882"/>
      <c r="C34" s="792"/>
      <c r="D34" s="826"/>
      <c r="E34" s="826"/>
      <c r="F34" s="826"/>
      <c r="G34" s="826"/>
      <c r="H34" s="826"/>
      <c r="I34" s="826"/>
      <c r="J34" s="884"/>
      <c r="K34" s="884"/>
      <c r="L34" s="370"/>
      <c r="M34" s="185"/>
      <c r="N34" s="185"/>
      <c r="O34" s="185"/>
      <c r="P34" s="185"/>
      <c r="Q34" s="185"/>
      <c r="R34" s="185"/>
      <c r="S34" s="185"/>
      <c r="T34" s="185"/>
      <c r="U34" s="185"/>
    </row>
    <row r="35" spans="1:21">
      <c r="A35" s="185"/>
      <c r="B35" s="807"/>
      <c r="C35" s="781"/>
      <c r="D35" s="853"/>
      <c r="E35" s="853"/>
      <c r="F35" s="853"/>
      <c r="G35" s="853"/>
      <c r="H35" s="676"/>
      <c r="I35" s="676"/>
      <c r="J35" s="910"/>
      <c r="K35" s="910"/>
      <c r="L35" s="370"/>
      <c r="M35" s="185"/>
      <c r="N35" s="185"/>
      <c r="O35" s="185"/>
      <c r="P35" s="185"/>
      <c r="Q35" s="185"/>
      <c r="R35" s="185"/>
      <c r="S35" s="185"/>
      <c r="T35" s="185"/>
      <c r="U35" s="185"/>
    </row>
    <row r="36" spans="1:21">
      <c r="A36" s="185"/>
      <c r="B36" s="929" t="s">
        <v>423</v>
      </c>
      <c r="C36" s="886" t="str">
        <f>CONCATENATE("All ",TestYear-1," and test year ",TestYear," estimates that vary from the three year average by")</f>
        <v>All 2014 and test year 2015 estimates that vary from the three year average by</v>
      </c>
      <c r="D36" s="673"/>
      <c r="E36" s="673"/>
      <c r="F36" s="923"/>
      <c r="G36" s="860"/>
      <c r="H36" s="860"/>
      <c r="I36" s="860"/>
      <c r="J36" s="911"/>
      <c r="K36" s="844"/>
      <c r="L36" s="912"/>
      <c r="M36" s="771"/>
      <c r="N36" s="770"/>
      <c r="O36" s="771"/>
      <c r="P36" s="771"/>
      <c r="Q36" s="771"/>
      <c r="R36" s="770"/>
      <c r="S36" s="771"/>
      <c r="T36" s="771"/>
      <c r="U36" s="771"/>
    </row>
    <row r="37" spans="1:21">
      <c r="A37" s="185"/>
      <c r="B37" s="861"/>
      <c r="C37" s="860" t="s">
        <v>982</v>
      </c>
      <c r="D37" s="673"/>
      <c r="E37" s="673"/>
      <c r="F37" s="924"/>
      <c r="G37" s="860"/>
      <c r="H37" s="860"/>
      <c r="I37" s="860"/>
      <c r="J37" s="913"/>
      <c r="K37" s="844"/>
      <c r="L37" s="912"/>
      <c r="M37" s="771"/>
      <c r="N37" s="772"/>
      <c r="O37" s="771"/>
      <c r="P37" s="771"/>
      <c r="Q37" s="771"/>
      <c r="R37" s="772"/>
      <c r="S37" s="771"/>
      <c r="T37" s="771"/>
      <c r="U37" s="771"/>
    </row>
    <row r="38" spans="1:21">
      <c r="A38" s="185"/>
      <c r="B38" s="730"/>
      <c r="C38" s="673"/>
      <c r="D38" s="853"/>
      <c r="E38" s="853"/>
      <c r="F38" s="853"/>
      <c r="G38" s="853"/>
      <c r="H38" s="676"/>
      <c r="I38" s="676"/>
      <c r="J38" s="884"/>
      <c r="K38" s="884"/>
      <c r="L38" s="370"/>
      <c r="M38" s="185"/>
      <c r="N38" s="185"/>
      <c r="O38" s="185"/>
      <c r="P38" s="185"/>
      <c r="Q38" s="185"/>
      <c r="R38" s="185"/>
      <c r="S38" s="185"/>
      <c r="T38" s="185"/>
      <c r="U38" s="185"/>
    </row>
    <row r="39" spans="1:21">
      <c r="A39" s="185"/>
      <c r="B39" s="839"/>
      <c r="C39" s="777"/>
      <c r="D39" s="842"/>
      <c r="E39" s="842"/>
      <c r="F39" s="842"/>
      <c r="G39" s="837"/>
      <c r="H39" s="778"/>
      <c r="I39" s="778"/>
      <c r="J39" s="884"/>
      <c r="K39" s="884"/>
      <c r="L39" s="370"/>
      <c r="M39" s="185"/>
      <c r="N39" s="185"/>
      <c r="O39" s="185"/>
      <c r="P39" s="185"/>
      <c r="Q39" s="185"/>
      <c r="R39" s="185"/>
      <c r="S39" s="185"/>
      <c r="T39" s="185"/>
      <c r="U39" s="185"/>
    </row>
    <row r="40" spans="1:21">
      <c r="A40" s="185"/>
      <c r="B40" s="839"/>
      <c r="C40" s="777"/>
      <c r="D40" s="842"/>
      <c r="E40" s="842"/>
      <c r="F40" s="842"/>
      <c r="G40" s="837"/>
      <c r="H40" s="778"/>
      <c r="I40" s="778"/>
      <c r="J40" s="884"/>
      <c r="K40" s="884"/>
      <c r="L40" s="370"/>
      <c r="M40" s="185"/>
      <c r="N40" s="185"/>
      <c r="O40" s="185"/>
      <c r="P40" s="185"/>
      <c r="Q40" s="185"/>
      <c r="R40" s="185"/>
      <c r="S40" s="185"/>
      <c r="T40" s="185"/>
      <c r="U40" s="185"/>
    </row>
    <row r="41" spans="1:21">
      <c r="A41" s="185"/>
      <c r="B41" s="839"/>
      <c r="C41" s="777"/>
      <c r="D41" s="842"/>
      <c r="E41" s="842"/>
      <c r="F41" s="842"/>
      <c r="G41" s="837"/>
      <c r="H41" s="778"/>
      <c r="I41" s="778"/>
      <c r="J41" s="884"/>
      <c r="K41" s="884"/>
      <c r="L41" s="370"/>
      <c r="M41" s="185"/>
      <c r="N41" s="185"/>
      <c r="O41" s="185"/>
      <c r="P41" s="185"/>
      <c r="Q41" s="185"/>
      <c r="R41" s="185"/>
      <c r="S41" s="185"/>
      <c r="T41" s="185"/>
      <c r="U41" s="185"/>
    </row>
    <row r="42" spans="1:21">
      <c r="A42" s="185"/>
      <c r="B42" s="839"/>
      <c r="C42" s="777"/>
      <c r="D42" s="842"/>
      <c r="E42" s="842"/>
      <c r="F42" s="842"/>
      <c r="G42" s="837"/>
      <c r="H42" s="778"/>
      <c r="I42" s="778"/>
      <c r="J42" s="884"/>
      <c r="K42" s="884"/>
      <c r="L42" s="370"/>
      <c r="M42" s="185"/>
      <c r="N42" s="185"/>
      <c r="O42" s="185"/>
      <c r="P42" s="185"/>
      <c r="Q42" s="185"/>
      <c r="R42" s="185"/>
      <c r="S42" s="185"/>
      <c r="T42" s="185"/>
      <c r="U42" s="185"/>
    </row>
    <row r="43" spans="1:21">
      <c r="A43" s="185"/>
      <c r="B43" s="839"/>
      <c r="C43" s="777"/>
      <c r="D43" s="842"/>
      <c r="E43" s="842"/>
      <c r="F43" s="842"/>
      <c r="G43" s="837"/>
      <c r="H43" s="778"/>
      <c r="I43" s="778"/>
      <c r="J43" s="884"/>
      <c r="K43" s="884"/>
      <c r="L43" s="370"/>
      <c r="M43" s="185"/>
      <c r="N43" s="185"/>
      <c r="O43" s="185"/>
      <c r="P43" s="185"/>
      <c r="Q43" s="185"/>
      <c r="R43" s="185"/>
      <c r="S43" s="185"/>
      <c r="T43" s="185"/>
      <c r="U43" s="185"/>
    </row>
    <row r="44" spans="1:21" ht="13.5" thickBot="1">
      <c r="A44" s="185"/>
      <c r="B44" s="914"/>
      <c r="C44" s="915"/>
      <c r="D44" s="916"/>
      <c r="E44" s="916"/>
      <c r="F44" s="916"/>
      <c r="G44" s="917"/>
      <c r="H44" s="385"/>
      <c r="I44" s="385"/>
      <c r="J44" s="918"/>
      <c r="K44" s="918"/>
      <c r="L44" s="386"/>
      <c r="M44" s="185"/>
      <c r="N44" s="185"/>
      <c r="O44" s="185"/>
      <c r="P44" s="185"/>
      <c r="Q44" s="185"/>
      <c r="R44" s="185"/>
      <c r="S44" s="185"/>
      <c r="T44" s="185"/>
      <c r="U44" s="185"/>
    </row>
    <row r="45" spans="1:21" ht="13.5" thickTop="1">
      <c r="A45" s="185"/>
      <c r="B45" s="185"/>
      <c r="C45" s="185"/>
      <c r="D45" s="771"/>
      <c r="E45" s="771"/>
      <c r="F45" s="760"/>
      <c r="G45" s="759"/>
      <c r="H45" s="312"/>
      <c r="I45" s="312"/>
      <c r="J45" s="765"/>
      <c r="K45" s="765"/>
      <c r="L45" s="185"/>
      <c r="M45" s="185"/>
      <c r="N45" s="185"/>
      <c r="O45" s="185"/>
      <c r="P45" s="185"/>
      <c r="Q45" s="185"/>
      <c r="R45" s="185"/>
      <c r="S45" s="185"/>
      <c r="T45" s="185"/>
      <c r="U45" s="185"/>
    </row>
    <row r="46" spans="1:21">
      <c r="A46" s="185"/>
      <c r="B46" s="185"/>
      <c r="C46" s="185"/>
      <c r="D46" s="771"/>
      <c r="E46" s="771"/>
      <c r="F46" s="766"/>
      <c r="G46" s="766"/>
      <c r="H46" s="766"/>
      <c r="I46" s="766"/>
      <c r="J46" s="752"/>
      <c r="K46" s="752"/>
      <c r="L46" s="185"/>
      <c r="M46" s="185"/>
      <c r="N46" s="185"/>
      <c r="O46" s="185"/>
      <c r="P46" s="185"/>
      <c r="Q46" s="185"/>
      <c r="R46" s="185"/>
      <c r="S46" s="185"/>
      <c r="T46" s="185"/>
      <c r="U46" s="185"/>
    </row>
    <row r="47" spans="1:21">
      <c r="A47" s="185"/>
      <c r="B47" s="721"/>
      <c r="C47" s="316"/>
      <c r="D47" s="766"/>
      <c r="E47" s="766"/>
      <c r="F47" s="766"/>
      <c r="G47" s="313"/>
      <c r="H47" s="766"/>
      <c r="I47" s="766"/>
      <c r="J47" s="761"/>
      <c r="K47" s="761"/>
      <c r="L47" s="185"/>
      <c r="M47" s="185"/>
      <c r="N47" s="185"/>
      <c r="O47" s="185"/>
      <c r="P47" s="185"/>
      <c r="Q47" s="185"/>
      <c r="R47" s="185"/>
      <c r="S47" s="185"/>
      <c r="T47" s="185"/>
      <c r="U47" s="185"/>
    </row>
    <row r="48" spans="1:21">
      <c r="A48" s="185"/>
      <c r="B48" s="721"/>
      <c r="C48" s="316"/>
      <c r="D48" s="766"/>
      <c r="E48" s="766"/>
      <c r="F48" s="766"/>
      <c r="G48" s="766"/>
      <c r="H48" s="766"/>
      <c r="I48" s="766"/>
      <c r="J48" s="752"/>
      <c r="K48" s="752"/>
      <c r="L48" s="185"/>
      <c r="M48" s="185"/>
      <c r="N48" s="185"/>
      <c r="O48" s="185"/>
      <c r="P48" s="185"/>
      <c r="Q48" s="185"/>
      <c r="R48" s="185"/>
      <c r="S48" s="185"/>
      <c r="T48" s="185"/>
      <c r="U48" s="185"/>
    </row>
    <row r="49" spans="1:21">
      <c r="A49" s="185"/>
      <c r="B49" s="721"/>
      <c r="C49" s="316"/>
      <c r="D49" s="766"/>
      <c r="E49" s="766"/>
      <c r="F49" s="766"/>
      <c r="G49" s="766"/>
      <c r="H49" s="766"/>
      <c r="I49" s="766"/>
      <c r="J49" s="752"/>
      <c r="K49" s="752"/>
      <c r="L49" s="185"/>
      <c r="M49" s="185"/>
      <c r="N49" s="185"/>
      <c r="O49" s="185"/>
      <c r="P49" s="185"/>
      <c r="Q49" s="185"/>
      <c r="R49" s="185"/>
      <c r="S49" s="185"/>
      <c r="T49" s="185"/>
      <c r="U49" s="185"/>
    </row>
    <row r="50" spans="1:21">
      <c r="A50" s="185"/>
      <c r="B50" s="721"/>
      <c r="C50" s="316"/>
      <c r="D50" s="766"/>
      <c r="E50" s="766"/>
      <c r="F50" s="766"/>
      <c r="G50" s="766"/>
      <c r="H50" s="766"/>
      <c r="I50" s="766"/>
      <c r="J50" s="752"/>
      <c r="K50" s="752"/>
      <c r="L50" s="764"/>
      <c r="M50" s="185"/>
      <c r="N50" s="185"/>
      <c r="O50" s="185"/>
      <c r="P50" s="185"/>
      <c r="Q50" s="185"/>
      <c r="R50" s="185"/>
      <c r="S50" s="185"/>
      <c r="T50" s="185"/>
      <c r="U50" s="185"/>
    </row>
    <row r="51" spans="1:21">
      <c r="A51" s="185"/>
      <c r="B51" s="721"/>
      <c r="C51" s="316"/>
      <c r="D51" s="766"/>
      <c r="E51" s="766"/>
      <c r="F51" s="766"/>
      <c r="G51" s="766"/>
      <c r="H51" s="766"/>
      <c r="I51" s="766"/>
      <c r="J51" s="752"/>
      <c r="K51" s="752"/>
      <c r="L51" s="185"/>
      <c r="M51" s="185"/>
      <c r="N51" s="185"/>
      <c r="O51" s="185"/>
      <c r="P51" s="185"/>
      <c r="Q51" s="185"/>
      <c r="R51" s="185"/>
      <c r="S51" s="185"/>
      <c r="T51" s="185"/>
      <c r="U51" s="185"/>
    </row>
    <row r="52" spans="1:21">
      <c r="A52" s="185"/>
      <c r="B52" s="721"/>
      <c r="C52" s="316"/>
      <c r="D52" s="766"/>
      <c r="E52" s="766"/>
      <c r="F52" s="766"/>
      <c r="G52" s="766"/>
      <c r="H52" s="766"/>
      <c r="I52" s="766"/>
      <c r="J52" s="752"/>
      <c r="K52" s="752"/>
      <c r="L52" s="185"/>
      <c r="M52" s="185"/>
      <c r="N52" s="185"/>
      <c r="O52" s="185"/>
      <c r="P52" s="185"/>
      <c r="Q52" s="185"/>
      <c r="R52" s="185"/>
      <c r="S52" s="185"/>
      <c r="T52" s="185"/>
      <c r="U52" s="185"/>
    </row>
    <row r="53" spans="1:21">
      <c r="A53" s="185"/>
      <c r="B53" s="661"/>
      <c r="C53" s="186"/>
      <c r="D53" s="766"/>
      <c r="E53" s="766"/>
      <c r="F53" s="766"/>
      <c r="G53" s="766"/>
      <c r="H53" s="766"/>
      <c r="I53" s="766"/>
      <c r="J53" s="752"/>
      <c r="K53" s="752"/>
      <c r="L53" s="185"/>
      <c r="M53" s="185"/>
      <c r="N53" s="185"/>
      <c r="O53" s="185"/>
      <c r="P53" s="185"/>
      <c r="Q53" s="185"/>
      <c r="R53" s="185"/>
      <c r="S53" s="185"/>
      <c r="T53" s="185"/>
      <c r="U53" s="185"/>
    </row>
    <row r="54" spans="1:21">
      <c r="A54" s="185"/>
      <c r="B54" s="754"/>
      <c r="C54" s="762"/>
      <c r="D54" s="890"/>
      <c r="E54" s="890"/>
      <c r="F54" s="890"/>
      <c r="G54" s="313"/>
      <c r="H54" s="664"/>
      <c r="I54" s="664"/>
      <c r="J54" s="761"/>
      <c r="K54" s="761"/>
      <c r="L54" s="185"/>
      <c r="M54" s="185"/>
      <c r="N54" s="185"/>
      <c r="O54" s="185"/>
      <c r="P54" s="185"/>
      <c r="Q54" s="185"/>
      <c r="R54" s="185"/>
      <c r="S54" s="185"/>
      <c r="T54" s="185"/>
      <c r="U54" s="185"/>
    </row>
    <row r="55" spans="1:21">
      <c r="A55" s="185"/>
      <c r="B55" s="754"/>
      <c r="C55" s="762"/>
      <c r="D55" s="313"/>
      <c r="E55" s="313"/>
      <c r="F55" s="313"/>
      <c r="G55" s="313"/>
      <c r="H55" s="890"/>
      <c r="I55" s="890"/>
      <c r="J55" s="891"/>
      <c r="K55" s="891"/>
      <c r="L55" s="303"/>
      <c r="M55" s="303"/>
      <c r="N55" s="303"/>
      <c r="O55" s="303"/>
      <c r="P55" s="185"/>
      <c r="Q55" s="185"/>
      <c r="R55" s="185"/>
      <c r="S55" s="185"/>
      <c r="T55" s="185"/>
      <c r="U55" s="185"/>
    </row>
    <row r="56" spans="1:21">
      <c r="A56" s="185"/>
      <c r="B56" s="754"/>
      <c r="C56" s="753"/>
      <c r="D56" s="890"/>
      <c r="E56" s="890"/>
      <c r="F56" s="890"/>
      <c r="G56" s="313"/>
      <c r="H56" s="664"/>
      <c r="I56" s="664"/>
      <c r="J56" s="891"/>
      <c r="K56" s="891"/>
      <c r="L56" s="303"/>
      <c r="M56" s="303"/>
      <c r="N56" s="303"/>
      <c r="O56" s="303"/>
      <c r="P56" s="185"/>
      <c r="Q56" s="185"/>
      <c r="R56" s="185"/>
      <c r="S56" s="185"/>
      <c r="T56" s="185"/>
      <c r="U56" s="185"/>
    </row>
    <row r="57" spans="1:21" ht="20.100000000000001" customHeight="1">
      <c r="A57" s="185"/>
      <c r="B57" s="754"/>
      <c r="C57" s="753"/>
      <c r="D57" s="890"/>
      <c r="E57" s="890"/>
      <c r="F57" s="890"/>
      <c r="G57" s="313"/>
      <c r="H57" s="664"/>
      <c r="I57" s="664"/>
      <c r="J57" s="891"/>
      <c r="K57" s="891"/>
      <c r="L57" s="303"/>
      <c r="M57" s="303"/>
      <c r="N57" s="303"/>
      <c r="O57" s="303"/>
      <c r="P57" s="185"/>
      <c r="Q57" s="185"/>
      <c r="R57" s="185"/>
      <c r="S57" s="185"/>
      <c r="T57" s="185"/>
      <c r="U57" s="185"/>
    </row>
    <row r="58" spans="1:21" ht="14.65" customHeight="1">
      <c r="A58" s="185"/>
      <c r="B58" s="755"/>
      <c r="C58" s="755"/>
      <c r="D58" s="769"/>
      <c r="E58" s="769"/>
      <c r="F58" s="769"/>
      <c r="G58" s="312"/>
      <c r="H58" s="664"/>
      <c r="I58" s="664"/>
      <c r="J58" s="892"/>
      <c r="K58" s="891"/>
      <c r="L58" s="303"/>
      <c r="M58" s="303"/>
      <c r="N58" s="303"/>
      <c r="O58" s="303"/>
      <c r="P58" s="185"/>
      <c r="Q58" s="185"/>
      <c r="R58" s="185"/>
      <c r="S58" s="185"/>
      <c r="T58" s="185"/>
      <c r="U58" s="185"/>
    </row>
    <row r="59" spans="1:21" ht="15.75" customHeight="1">
      <c r="A59" s="185"/>
      <c r="B59" s="767"/>
      <c r="C59" s="753"/>
      <c r="D59" s="890"/>
      <c r="E59" s="890"/>
      <c r="F59" s="890"/>
      <c r="G59" s="313"/>
      <c r="H59" s="303"/>
      <c r="I59" s="303"/>
      <c r="J59" s="891"/>
      <c r="K59" s="891"/>
      <c r="L59" s="303"/>
      <c r="M59" s="303"/>
      <c r="N59" s="303"/>
      <c r="O59" s="303"/>
      <c r="P59" s="185"/>
      <c r="Q59" s="185"/>
      <c r="R59" s="185"/>
      <c r="S59" s="185"/>
      <c r="T59" s="185"/>
      <c r="U59" s="185"/>
    </row>
    <row r="60" spans="1:21">
      <c r="A60" s="185"/>
      <c r="B60" s="754"/>
      <c r="C60" s="753"/>
      <c r="D60" s="890"/>
      <c r="E60" s="890"/>
      <c r="F60" s="890"/>
      <c r="G60" s="313"/>
      <c r="H60" s="318"/>
      <c r="I60" s="318"/>
      <c r="J60" s="891"/>
      <c r="K60" s="891"/>
      <c r="L60" s="303"/>
      <c r="M60" s="303"/>
      <c r="N60" s="303"/>
      <c r="O60" s="303"/>
      <c r="P60" s="185"/>
      <c r="Q60" s="185"/>
      <c r="R60" s="185"/>
      <c r="S60" s="185"/>
      <c r="T60" s="185"/>
      <c r="U60" s="185"/>
    </row>
    <row r="61" spans="1:21">
      <c r="A61" s="185"/>
      <c r="B61" s="754"/>
      <c r="C61" s="753"/>
      <c r="D61" s="890"/>
      <c r="E61" s="890"/>
      <c r="F61" s="890"/>
      <c r="G61" s="313"/>
      <c r="H61" s="664"/>
      <c r="I61" s="664"/>
      <c r="J61" s="891"/>
      <c r="K61" s="891"/>
      <c r="L61" s="303"/>
      <c r="M61" s="303"/>
      <c r="N61" s="303"/>
      <c r="O61" s="303"/>
      <c r="P61" s="185"/>
      <c r="Q61" s="185"/>
      <c r="R61" s="185"/>
      <c r="S61" s="185"/>
      <c r="T61" s="185"/>
      <c r="U61" s="185"/>
    </row>
    <row r="62" spans="1:21">
      <c r="A62" s="185"/>
      <c r="B62" s="754"/>
      <c r="C62" s="753"/>
      <c r="D62" s="890"/>
      <c r="E62" s="890"/>
      <c r="F62" s="890"/>
      <c r="G62" s="313"/>
      <c r="H62" s="664"/>
      <c r="I62" s="664"/>
      <c r="J62" s="891"/>
      <c r="K62" s="891"/>
      <c r="L62" s="303"/>
      <c r="M62" s="303"/>
      <c r="N62" s="303"/>
      <c r="O62" s="303"/>
      <c r="P62" s="185"/>
      <c r="Q62" s="185"/>
      <c r="R62" s="185"/>
      <c r="S62" s="185"/>
      <c r="T62" s="185"/>
      <c r="U62" s="185"/>
    </row>
    <row r="63" spans="1:21">
      <c r="A63" s="185"/>
      <c r="B63" s="754"/>
      <c r="C63" s="753"/>
      <c r="D63" s="890"/>
      <c r="E63" s="890"/>
      <c r="F63" s="890"/>
      <c r="G63" s="313"/>
      <c r="H63" s="664"/>
      <c r="I63" s="664"/>
      <c r="J63" s="891"/>
      <c r="K63" s="891"/>
      <c r="L63" s="303"/>
      <c r="M63" s="303"/>
      <c r="N63" s="303"/>
      <c r="O63" s="303"/>
      <c r="P63" s="185"/>
      <c r="Q63" s="185"/>
      <c r="R63" s="185"/>
      <c r="S63" s="185"/>
      <c r="T63" s="185"/>
      <c r="U63" s="185"/>
    </row>
    <row r="64" spans="1:21">
      <c r="A64" s="185"/>
      <c r="B64" s="754"/>
      <c r="C64" s="753"/>
      <c r="D64" s="890"/>
      <c r="E64" s="890"/>
      <c r="F64" s="890"/>
      <c r="G64" s="313"/>
      <c r="H64" s="664"/>
      <c r="I64" s="664"/>
      <c r="J64" s="891"/>
      <c r="K64" s="891"/>
      <c r="L64" s="303"/>
      <c r="M64" s="303"/>
      <c r="N64" s="303"/>
      <c r="O64" s="303"/>
      <c r="P64" s="185"/>
      <c r="Q64" s="185"/>
      <c r="R64" s="185"/>
      <c r="S64" s="185"/>
      <c r="T64" s="185"/>
      <c r="U64" s="185"/>
    </row>
    <row r="65" spans="1:21">
      <c r="A65" s="185"/>
      <c r="B65" s="754"/>
      <c r="C65" s="753"/>
      <c r="D65" s="890"/>
      <c r="E65" s="890"/>
      <c r="F65" s="890"/>
      <c r="G65" s="313"/>
      <c r="H65" s="664"/>
      <c r="I65" s="303"/>
      <c r="J65" s="891"/>
      <c r="K65" s="891"/>
      <c r="L65" s="303"/>
      <c r="M65" s="303"/>
      <c r="N65" s="303"/>
      <c r="O65" s="303"/>
      <c r="P65" s="185"/>
      <c r="Q65" s="185"/>
      <c r="R65" s="185"/>
      <c r="S65" s="185"/>
      <c r="T65" s="185"/>
      <c r="U65" s="185"/>
    </row>
    <row r="66" spans="1:21" s="106" customFormat="1">
      <c r="A66" s="303"/>
      <c r="B66" s="763"/>
      <c r="C66" s="762"/>
      <c r="D66" s="890"/>
      <c r="E66" s="890"/>
      <c r="F66" s="890"/>
      <c r="G66" s="313"/>
      <c r="H66" s="312"/>
      <c r="I66" s="312"/>
      <c r="J66" s="891"/>
      <c r="K66" s="891"/>
      <c r="L66" s="303"/>
      <c r="M66" s="303"/>
      <c r="N66" s="303"/>
      <c r="O66" s="303"/>
      <c r="P66" s="185"/>
      <c r="Q66" s="185"/>
      <c r="R66" s="185"/>
      <c r="S66" s="185"/>
      <c r="T66" s="185"/>
      <c r="U66" s="185"/>
    </row>
    <row r="67" spans="1:21">
      <c r="A67" s="185"/>
      <c r="B67" s="754"/>
      <c r="C67" s="753"/>
      <c r="D67" s="890"/>
      <c r="E67" s="890"/>
      <c r="F67" s="890"/>
      <c r="G67" s="313"/>
      <c r="H67" s="664"/>
      <c r="I67" s="664"/>
      <c r="J67" s="891"/>
      <c r="K67" s="891"/>
      <c r="L67" s="303"/>
      <c r="M67" s="303"/>
      <c r="N67" s="303"/>
      <c r="O67" s="303"/>
      <c r="P67" s="185"/>
      <c r="Q67" s="185"/>
      <c r="R67" s="185"/>
      <c r="S67" s="185"/>
      <c r="T67" s="185"/>
      <c r="U67" s="185"/>
    </row>
    <row r="68" spans="1:21">
      <c r="A68" s="185"/>
      <c r="B68" s="754"/>
      <c r="C68" s="753"/>
      <c r="D68" s="890"/>
      <c r="E68" s="890"/>
      <c r="F68" s="890"/>
      <c r="G68" s="313"/>
      <c r="H68" s="664"/>
      <c r="I68" s="664"/>
      <c r="J68" s="891"/>
      <c r="K68" s="891"/>
      <c r="L68" s="303"/>
      <c r="M68" s="303"/>
      <c r="N68" s="303"/>
      <c r="O68" s="303"/>
      <c r="P68" s="185"/>
      <c r="Q68" s="185"/>
      <c r="R68" s="185"/>
      <c r="S68" s="185"/>
      <c r="T68" s="185"/>
      <c r="U68" s="185"/>
    </row>
    <row r="69" spans="1:21">
      <c r="A69" s="185"/>
      <c r="B69" s="754"/>
      <c r="C69" s="762"/>
      <c r="D69" s="890"/>
      <c r="E69" s="890"/>
      <c r="F69" s="890"/>
      <c r="G69" s="313"/>
      <c r="H69" s="664"/>
      <c r="I69" s="664"/>
      <c r="J69" s="891"/>
      <c r="K69" s="891"/>
      <c r="L69" s="303"/>
      <c r="M69" s="303"/>
      <c r="N69" s="303"/>
      <c r="O69" s="303"/>
      <c r="P69" s="185"/>
      <c r="Q69" s="185"/>
      <c r="R69" s="185"/>
      <c r="S69" s="185"/>
      <c r="T69" s="185"/>
      <c r="U69" s="185"/>
    </row>
    <row r="70" spans="1:21">
      <c r="A70" s="185"/>
      <c r="B70" s="754"/>
      <c r="C70" s="762"/>
      <c r="D70" s="890"/>
      <c r="E70" s="890"/>
      <c r="F70" s="890"/>
      <c r="G70" s="313"/>
      <c r="H70" s="664"/>
      <c r="I70" s="664"/>
      <c r="J70" s="891"/>
      <c r="K70" s="891"/>
      <c r="L70" s="303"/>
      <c r="M70" s="303"/>
      <c r="N70" s="303"/>
      <c r="O70" s="303"/>
      <c r="P70" s="185"/>
      <c r="Q70" s="185"/>
      <c r="R70" s="185"/>
      <c r="S70" s="185"/>
      <c r="T70" s="185"/>
      <c r="U70" s="185"/>
    </row>
    <row r="71" spans="1:21">
      <c r="A71" s="185"/>
      <c r="B71" s="754"/>
      <c r="C71" s="762"/>
      <c r="D71" s="313"/>
      <c r="E71" s="313"/>
      <c r="F71" s="313"/>
      <c r="G71" s="313"/>
      <c r="H71" s="890"/>
      <c r="I71" s="890"/>
      <c r="J71" s="891"/>
      <c r="K71" s="891"/>
      <c r="L71" s="883"/>
      <c r="M71" s="303"/>
      <c r="N71" s="303"/>
      <c r="O71" s="303"/>
      <c r="P71" s="185"/>
      <c r="Q71" s="185"/>
      <c r="R71" s="185"/>
      <c r="S71" s="185"/>
      <c r="T71" s="185"/>
      <c r="U71" s="185"/>
    </row>
    <row r="72" spans="1:21">
      <c r="A72" s="185"/>
      <c r="B72" s="754"/>
      <c r="C72" s="753"/>
      <c r="D72" s="890"/>
      <c r="E72" s="890"/>
      <c r="F72" s="890"/>
      <c r="G72" s="313"/>
      <c r="H72" s="664"/>
      <c r="I72" s="664"/>
      <c r="J72" s="891"/>
      <c r="K72" s="891"/>
      <c r="L72" s="303"/>
      <c r="M72" s="303"/>
      <c r="N72" s="303"/>
      <c r="O72" s="303"/>
      <c r="P72" s="185"/>
      <c r="Q72" s="185"/>
      <c r="R72" s="185"/>
      <c r="S72" s="185"/>
      <c r="T72" s="185"/>
      <c r="U72" s="185"/>
    </row>
    <row r="73" spans="1:21">
      <c r="A73" s="185"/>
      <c r="B73" s="754"/>
      <c r="C73" s="753"/>
      <c r="D73" s="313"/>
      <c r="E73" s="313"/>
      <c r="F73" s="313"/>
      <c r="G73" s="313"/>
      <c r="H73" s="664"/>
      <c r="I73" s="664"/>
      <c r="J73" s="891"/>
      <c r="K73" s="891"/>
      <c r="L73" s="883"/>
      <c r="M73" s="303"/>
      <c r="N73" s="303"/>
      <c r="O73" s="303"/>
      <c r="P73" s="185"/>
      <c r="Q73" s="185"/>
      <c r="R73" s="185"/>
      <c r="S73" s="185"/>
      <c r="T73" s="185"/>
      <c r="U73" s="185"/>
    </row>
    <row r="74" spans="1:21">
      <c r="A74" s="185"/>
      <c r="B74" s="754"/>
      <c r="C74" s="753"/>
      <c r="D74" s="890"/>
      <c r="E74" s="890"/>
      <c r="F74" s="890"/>
      <c r="G74" s="313"/>
      <c r="H74" s="664"/>
      <c r="I74" s="664"/>
      <c r="J74" s="891"/>
      <c r="K74" s="891"/>
      <c r="L74" s="303"/>
      <c r="M74" s="303"/>
      <c r="N74" s="303"/>
      <c r="O74" s="303"/>
      <c r="P74" s="185"/>
      <c r="Q74" s="185"/>
      <c r="R74" s="185"/>
      <c r="S74" s="185"/>
      <c r="T74" s="185"/>
      <c r="U74" s="185"/>
    </row>
    <row r="75" spans="1:21">
      <c r="A75" s="185"/>
      <c r="B75" s="754"/>
      <c r="C75" s="753"/>
      <c r="D75" s="890"/>
      <c r="E75" s="890"/>
      <c r="F75" s="890"/>
      <c r="G75" s="313"/>
      <c r="H75" s="664"/>
      <c r="I75" s="664"/>
      <c r="J75" s="891"/>
      <c r="K75" s="891"/>
      <c r="L75" s="303"/>
      <c r="M75" s="303"/>
      <c r="N75" s="303"/>
      <c r="O75" s="303"/>
      <c r="P75" s="185"/>
      <c r="Q75" s="185"/>
      <c r="R75" s="185"/>
      <c r="S75" s="185"/>
      <c r="T75" s="185"/>
      <c r="U75" s="185"/>
    </row>
    <row r="76" spans="1:21" ht="15.75" customHeight="1">
      <c r="A76" s="185"/>
      <c r="B76" s="770"/>
      <c r="C76" s="771"/>
      <c r="D76" s="893"/>
      <c r="E76" s="893"/>
      <c r="F76" s="306"/>
      <c r="G76" s="306"/>
      <c r="H76" s="303"/>
      <c r="I76" s="303"/>
      <c r="J76" s="892"/>
      <c r="K76" s="892"/>
      <c r="L76" s="303"/>
      <c r="M76" s="303"/>
      <c r="N76" s="303"/>
      <c r="O76" s="303"/>
      <c r="P76" s="185"/>
      <c r="Q76" s="185"/>
      <c r="R76" s="185"/>
      <c r="S76" s="185"/>
      <c r="T76" s="185"/>
      <c r="U76" s="185"/>
    </row>
    <row r="77" spans="1:21" ht="15.75" customHeight="1">
      <c r="A77" s="185"/>
      <c r="B77" s="772"/>
      <c r="C77" s="771"/>
      <c r="D77" s="893"/>
      <c r="E77" s="893"/>
      <c r="F77" s="312"/>
      <c r="G77" s="312"/>
      <c r="H77" s="766"/>
      <c r="I77" s="766"/>
      <c r="J77" s="891"/>
      <c r="K77" s="891"/>
      <c r="L77" s="303"/>
      <c r="M77" s="303"/>
      <c r="N77" s="303"/>
      <c r="O77" s="303"/>
      <c r="P77" s="185"/>
      <c r="Q77" s="185"/>
      <c r="R77" s="185"/>
      <c r="S77" s="185"/>
      <c r="T77" s="185"/>
      <c r="U77" s="185"/>
    </row>
    <row r="78" spans="1:21" ht="15.75" customHeight="1">
      <c r="A78" s="185"/>
      <c r="B78" s="721"/>
      <c r="C78" s="316"/>
      <c r="D78" s="766"/>
      <c r="E78" s="766"/>
      <c r="F78" s="766"/>
      <c r="G78" s="766"/>
      <c r="H78" s="766"/>
      <c r="I78" s="766"/>
      <c r="J78" s="892"/>
      <c r="K78" s="892"/>
      <c r="L78" s="303"/>
      <c r="M78" s="303"/>
      <c r="N78" s="303"/>
      <c r="O78" s="303"/>
      <c r="P78" s="185"/>
      <c r="Q78" s="185"/>
      <c r="R78" s="185"/>
      <c r="S78" s="185"/>
      <c r="T78" s="185"/>
      <c r="U78" s="185"/>
    </row>
    <row r="79" spans="1:21" ht="15.75" customHeight="1">
      <c r="A79" s="185"/>
      <c r="B79" s="721"/>
      <c r="C79" s="316"/>
      <c r="D79" s="766"/>
      <c r="E79" s="766"/>
      <c r="F79" s="766"/>
      <c r="G79" s="766"/>
      <c r="H79" s="766"/>
      <c r="I79" s="766"/>
      <c r="J79" s="892"/>
      <c r="K79" s="892"/>
      <c r="L79" s="303"/>
      <c r="M79" s="303"/>
      <c r="N79" s="303"/>
      <c r="O79" s="303"/>
      <c r="P79" s="185"/>
      <c r="Q79" s="185"/>
      <c r="R79" s="185"/>
      <c r="S79" s="185"/>
      <c r="T79" s="185"/>
      <c r="U79" s="185"/>
    </row>
    <row r="80" spans="1:21" ht="15.75" customHeight="1">
      <c r="A80" s="185"/>
      <c r="B80" s="721"/>
      <c r="C80" s="316"/>
      <c r="D80" s="766"/>
      <c r="E80" s="766"/>
      <c r="F80" s="766"/>
      <c r="G80" s="766"/>
      <c r="H80" s="766"/>
      <c r="I80" s="766"/>
      <c r="J80" s="892"/>
      <c r="K80" s="892"/>
      <c r="L80" s="303"/>
      <c r="M80" s="303"/>
      <c r="N80" s="303"/>
      <c r="O80" s="303"/>
      <c r="P80" s="185"/>
      <c r="Q80" s="185"/>
      <c r="R80" s="185"/>
      <c r="S80" s="185"/>
      <c r="T80" s="185"/>
      <c r="U80" s="185"/>
    </row>
    <row r="81" spans="1:21" ht="15.75" customHeight="1">
      <c r="A81" s="185"/>
      <c r="B81" s="661"/>
      <c r="C81" s="185"/>
      <c r="D81" s="303"/>
      <c r="E81" s="303"/>
      <c r="F81" s="766"/>
      <c r="G81" s="766"/>
      <c r="H81" s="766"/>
      <c r="I81" s="766"/>
      <c r="J81" s="892"/>
      <c r="K81" s="892"/>
      <c r="L81" s="303"/>
      <c r="M81" s="303"/>
      <c r="N81" s="303"/>
      <c r="O81" s="303"/>
      <c r="P81" s="185"/>
      <c r="Q81" s="185"/>
      <c r="R81" s="185"/>
      <c r="S81" s="185"/>
      <c r="T81" s="185"/>
      <c r="U81" s="185"/>
    </row>
    <row r="82" spans="1:21" ht="15.75" customHeight="1">
      <c r="A82" s="185"/>
      <c r="B82" s="661"/>
      <c r="C82" s="185"/>
      <c r="D82" s="303"/>
      <c r="E82" s="303"/>
      <c r="F82" s="766"/>
      <c r="G82" s="766"/>
      <c r="H82" s="766"/>
      <c r="I82" s="766"/>
      <c r="J82" s="892"/>
      <c r="K82" s="892"/>
      <c r="L82" s="303"/>
      <c r="M82" s="303"/>
      <c r="N82" s="303"/>
      <c r="O82" s="303"/>
      <c r="P82" s="185"/>
      <c r="Q82" s="185"/>
      <c r="R82" s="185"/>
      <c r="S82" s="185"/>
      <c r="T82" s="185"/>
      <c r="U82" s="185"/>
    </row>
    <row r="83" spans="1:21" ht="15.75" customHeight="1">
      <c r="A83" s="185"/>
      <c r="B83" s="721"/>
      <c r="C83" s="316"/>
      <c r="D83" s="766"/>
      <c r="E83" s="766"/>
      <c r="F83" s="766"/>
      <c r="G83" s="766"/>
      <c r="H83" s="766"/>
      <c r="I83" s="766"/>
      <c r="J83" s="892"/>
      <c r="K83" s="892"/>
      <c r="L83" s="303"/>
      <c r="M83" s="303"/>
      <c r="N83" s="303"/>
      <c r="O83" s="303"/>
      <c r="P83" s="185"/>
      <c r="Q83" s="185"/>
      <c r="R83" s="185"/>
      <c r="S83" s="185"/>
      <c r="T83" s="185"/>
      <c r="U83" s="185"/>
    </row>
    <row r="84" spans="1:21" ht="15.75" customHeight="1">
      <c r="A84" s="185"/>
      <c r="B84" s="721"/>
      <c r="C84" s="316"/>
      <c r="D84" s="766"/>
      <c r="E84" s="766"/>
      <c r="F84" s="766"/>
      <c r="G84" s="766"/>
      <c r="H84" s="766"/>
      <c r="I84" s="766"/>
      <c r="J84" s="892"/>
      <c r="K84" s="892"/>
      <c r="L84" s="303"/>
      <c r="M84" s="303"/>
      <c r="N84" s="303"/>
      <c r="O84" s="303"/>
      <c r="P84" s="185"/>
      <c r="Q84" s="185"/>
      <c r="R84" s="185"/>
      <c r="S84" s="185"/>
      <c r="T84" s="185"/>
      <c r="U84" s="185"/>
    </row>
    <row r="85" spans="1:21" ht="15.75" customHeight="1">
      <c r="A85" s="185"/>
      <c r="B85" s="721"/>
      <c r="C85" s="316"/>
      <c r="D85" s="766"/>
      <c r="E85" s="766"/>
      <c r="F85" s="766"/>
      <c r="G85" s="766"/>
      <c r="H85" s="766"/>
      <c r="I85" s="766"/>
      <c r="J85" s="892"/>
      <c r="K85" s="892"/>
      <c r="L85" s="303"/>
      <c r="M85" s="303"/>
      <c r="N85" s="303"/>
      <c r="O85" s="303"/>
      <c r="P85" s="185"/>
      <c r="Q85" s="185"/>
      <c r="R85" s="185"/>
      <c r="S85" s="185"/>
      <c r="T85" s="185"/>
      <c r="U85" s="185"/>
    </row>
    <row r="86" spans="1:21" ht="15.75" customHeight="1">
      <c r="A86" s="185"/>
      <c r="B86" s="721"/>
      <c r="C86" s="316"/>
      <c r="D86" s="766"/>
      <c r="E86" s="766"/>
      <c r="F86" s="766"/>
      <c r="G86" s="766"/>
      <c r="H86" s="766"/>
      <c r="I86" s="766"/>
      <c r="J86" s="892"/>
      <c r="K86" s="892"/>
      <c r="L86" s="303"/>
      <c r="M86" s="303"/>
      <c r="N86" s="303"/>
      <c r="O86" s="303"/>
      <c r="P86" s="185"/>
      <c r="Q86" s="185"/>
      <c r="R86" s="185"/>
      <c r="S86" s="185"/>
      <c r="T86" s="185"/>
      <c r="U86" s="185"/>
    </row>
    <row r="87" spans="1:21" ht="15.75" customHeight="1">
      <c r="A87" s="185"/>
      <c r="B87" s="721"/>
      <c r="C87" s="316"/>
      <c r="D87" s="766"/>
      <c r="E87" s="766"/>
      <c r="F87" s="766"/>
      <c r="G87" s="766"/>
      <c r="H87" s="766"/>
      <c r="I87" s="766"/>
      <c r="J87" s="892"/>
      <c r="K87" s="892"/>
      <c r="L87" s="303"/>
      <c r="M87" s="303"/>
      <c r="N87" s="303"/>
      <c r="O87" s="303"/>
      <c r="P87" s="185"/>
      <c r="Q87" s="185"/>
      <c r="R87" s="185"/>
      <c r="S87" s="185"/>
      <c r="T87" s="185"/>
      <c r="U87" s="185"/>
    </row>
    <row r="88" spans="1:21" ht="15.75" customHeight="1">
      <c r="A88" s="185"/>
      <c r="B88" s="661"/>
      <c r="C88" s="185"/>
      <c r="D88" s="311"/>
      <c r="E88" s="316"/>
      <c r="F88" s="316"/>
      <c r="G88" s="316"/>
      <c r="H88" s="316"/>
      <c r="I88" s="316"/>
      <c r="J88" s="892"/>
      <c r="K88" s="892"/>
      <c r="L88" s="303"/>
      <c r="M88" s="303"/>
      <c r="N88" s="303"/>
      <c r="O88" s="303"/>
      <c r="P88" s="185"/>
      <c r="Q88" s="185"/>
      <c r="R88" s="185"/>
      <c r="S88" s="185"/>
      <c r="T88" s="185"/>
      <c r="U88" s="185"/>
    </row>
    <row r="89" spans="1:21" s="90" customFormat="1">
      <c r="A89" s="186"/>
      <c r="B89" s="894"/>
      <c r="C89" s="186"/>
      <c r="D89" s="2000"/>
      <c r="E89" s="2001"/>
      <c r="F89" s="2001"/>
      <c r="G89" s="2001"/>
      <c r="H89" s="316"/>
      <c r="I89" s="895"/>
      <c r="J89" s="892"/>
      <c r="K89" s="892"/>
      <c r="L89" s="303"/>
      <c r="M89" s="303"/>
      <c r="N89" s="303"/>
      <c r="O89" s="303"/>
      <c r="P89" s="185"/>
      <c r="Q89" s="185"/>
      <c r="R89" s="185"/>
      <c r="S89" s="185"/>
      <c r="T89" s="185"/>
      <c r="U89" s="185"/>
    </row>
    <row r="90" spans="1:21" s="90" customFormat="1">
      <c r="A90" s="186"/>
      <c r="B90" s="888"/>
      <c r="C90" s="753"/>
      <c r="D90" s="762"/>
      <c r="E90" s="762"/>
      <c r="F90" s="762"/>
      <c r="G90" s="762"/>
      <c r="H90" s="316"/>
      <c r="I90" s="895"/>
      <c r="J90" s="892"/>
      <c r="K90" s="892"/>
      <c r="L90" s="303"/>
      <c r="M90" s="303"/>
      <c r="N90" s="303"/>
      <c r="O90" s="303"/>
      <c r="P90" s="185"/>
      <c r="Q90" s="185"/>
      <c r="R90" s="185"/>
      <c r="S90" s="185"/>
      <c r="T90" s="185"/>
      <c r="U90" s="185"/>
    </row>
    <row r="91" spans="1:21" s="90" customFormat="1">
      <c r="A91" s="186"/>
      <c r="B91" s="754"/>
      <c r="C91" s="896"/>
      <c r="D91" s="2002"/>
      <c r="E91" s="2002"/>
      <c r="F91" s="2002"/>
      <c r="G91" s="2002"/>
      <c r="H91" s="721"/>
      <c r="I91" s="721"/>
      <c r="J91" s="892"/>
      <c r="K91" s="892"/>
      <c r="L91" s="303"/>
      <c r="M91" s="303"/>
      <c r="N91" s="303"/>
      <c r="O91" s="303"/>
      <c r="P91" s="185"/>
      <c r="Q91" s="185"/>
      <c r="R91" s="185"/>
      <c r="S91" s="185"/>
      <c r="T91" s="185"/>
      <c r="U91" s="185"/>
    </row>
    <row r="92" spans="1:21" s="90" customFormat="1">
      <c r="A92" s="186"/>
      <c r="B92" s="754"/>
      <c r="C92" s="896"/>
      <c r="D92" s="1998"/>
      <c r="E92" s="1998"/>
      <c r="F92" s="1998"/>
      <c r="G92" s="1998"/>
      <c r="H92" s="721"/>
      <c r="I92" s="721"/>
      <c r="J92" s="892"/>
      <c r="K92" s="892"/>
      <c r="L92" s="303"/>
      <c r="M92" s="303"/>
      <c r="N92" s="303"/>
      <c r="O92" s="303"/>
      <c r="P92" s="185"/>
      <c r="Q92" s="185"/>
      <c r="R92" s="185"/>
      <c r="S92" s="185"/>
      <c r="T92" s="185"/>
      <c r="U92" s="185"/>
    </row>
    <row r="93" spans="1:21" s="90" customFormat="1">
      <c r="A93" s="186"/>
      <c r="B93" s="754"/>
      <c r="C93" s="896"/>
      <c r="D93" s="1998"/>
      <c r="E93" s="1999"/>
      <c r="F93" s="1999"/>
      <c r="G93" s="1999"/>
      <c r="H93" s="721"/>
      <c r="I93" s="721"/>
      <c r="J93" s="892"/>
      <c r="K93" s="892"/>
      <c r="L93" s="303"/>
      <c r="M93" s="303"/>
      <c r="N93" s="303"/>
      <c r="O93" s="303"/>
      <c r="P93" s="185"/>
      <c r="Q93" s="185"/>
      <c r="R93" s="185"/>
      <c r="S93" s="185"/>
      <c r="T93" s="185"/>
      <c r="U93" s="185"/>
    </row>
    <row r="94" spans="1:21" s="90" customFormat="1">
      <c r="A94" s="186"/>
      <c r="B94" s="754"/>
      <c r="C94" s="896"/>
      <c r="D94" s="763"/>
      <c r="E94" s="763"/>
      <c r="F94" s="763"/>
      <c r="G94" s="762"/>
      <c r="H94" s="721"/>
      <c r="I94" s="721"/>
      <c r="J94" s="892"/>
      <c r="K94" s="892"/>
      <c r="L94" s="303"/>
      <c r="M94" s="303"/>
      <c r="N94" s="303"/>
      <c r="O94" s="303"/>
      <c r="P94" s="185"/>
      <c r="Q94" s="185"/>
      <c r="R94" s="185"/>
      <c r="S94" s="185"/>
      <c r="T94" s="185"/>
      <c r="U94" s="185"/>
    </row>
    <row r="95" spans="1:21" s="90" customFormat="1">
      <c r="A95" s="186"/>
      <c r="B95" s="754"/>
      <c r="C95" s="755"/>
      <c r="D95" s="897"/>
      <c r="E95" s="898"/>
      <c r="F95" s="898"/>
      <c r="G95" s="763"/>
      <c r="H95" s="721"/>
      <c r="I95" s="899"/>
      <c r="J95" s="900"/>
      <c r="K95" s="900"/>
      <c r="L95" s="303"/>
      <c r="M95" s="303"/>
      <c r="N95" s="303"/>
      <c r="O95" s="303"/>
      <c r="P95" s="185"/>
      <c r="Q95" s="185"/>
      <c r="R95" s="185"/>
      <c r="S95" s="185"/>
      <c r="T95" s="185"/>
      <c r="U95" s="185"/>
    </row>
    <row r="96" spans="1:21" s="90" customFormat="1">
      <c r="A96" s="186"/>
      <c r="B96" s="756"/>
      <c r="C96" s="757"/>
      <c r="D96" s="756"/>
      <c r="E96" s="756"/>
      <c r="F96" s="757"/>
      <c r="G96" s="756"/>
      <c r="H96" s="756"/>
      <c r="I96" s="757"/>
      <c r="J96" s="901"/>
      <c r="K96" s="758"/>
      <c r="L96" s="303"/>
      <c r="M96" s="303"/>
      <c r="N96" s="303"/>
      <c r="O96" s="303"/>
      <c r="P96" s="185"/>
      <c r="Q96" s="185"/>
      <c r="R96" s="185"/>
      <c r="S96" s="185"/>
      <c r="T96" s="185"/>
      <c r="U96" s="185"/>
    </row>
    <row r="97" spans="1:21" s="90" customFormat="1">
      <c r="A97" s="186"/>
      <c r="B97" s="902"/>
      <c r="C97" s="902"/>
      <c r="D97" s="756"/>
      <c r="E97" s="756"/>
      <c r="F97" s="756"/>
      <c r="G97" s="762"/>
      <c r="H97" s="768"/>
      <c r="I97" s="768"/>
      <c r="J97" s="892"/>
      <c r="K97" s="892"/>
      <c r="L97" s="303"/>
      <c r="M97" s="303"/>
      <c r="N97" s="303"/>
      <c r="O97" s="303"/>
      <c r="P97" s="185"/>
      <c r="Q97" s="185"/>
      <c r="R97" s="185"/>
      <c r="S97" s="185"/>
      <c r="T97" s="185"/>
      <c r="U97" s="185"/>
    </row>
    <row r="98" spans="1:21">
      <c r="A98" s="185"/>
      <c r="B98" s="661"/>
      <c r="C98" s="185"/>
      <c r="D98" s="303"/>
      <c r="E98" s="303"/>
      <c r="F98" s="303"/>
      <c r="G98" s="316"/>
      <c r="H98" s="303"/>
      <c r="I98" s="303"/>
      <c r="J98" s="892"/>
      <c r="K98" s="892"/>
      <c r="L98" s="303"/>
      <c r="M98" s="303"/>
      <c r="N98" s="303"/>
      <c r="O98" s="303"/>
      <c r="P98" s="185"/>
      <c r="Q98" s="185"/>
      <c r="R98" s="185"/>
      <c r="S98" s="185"/>
      <c r="T98" s="185"/>
      <c r="U98" s="185"/>
    </row>
    <row r="99" spans="1:21">
      <c r="A99" s="185"/>
      <c r="B99" s="661"/>
      <c r="C99" s="185"/>
      <c r="D99" s="303"/>
      <c r="E99" s="303"/>
      <c r="F99" s="303"/>
      <c r="G99" s="316"/>
      <c r="H99" s="303"/>
      <c r="I99" s="303"/>
      <c r="J99" s="892"/>
      <c r="K99" s="892"/>
      <c r="L99" s="303"/>
      <c r="M99" s="303"/>
      <c r="N99" s="303"/>
      <c r="O99" s="303"/>
      <c r="P99" s="185"/>
      <c r="Q99" s="185"/>
      <c r="R99" s="185"/>
      <c r="S99" s="185"/>
      <c r="T99" s="185"/>
      <c r="U99" s="185"/>
    </row>
    <row r="100" spans="1:21">
      <c r="A100" s="185"/>
      <c r="B100" s="661"/>
      <c r="C100" s="185"/>
      <c r="D100" s="303"/>
      <c r="E100" s="303"/>
      <c r="F100" s="303"/>
      <c r="G100" s="316"/>
      <c r="H100" s="303"/>
      <c r="I100" s="303"/>
      <c r="J100" s="892"/>
      <c r="K100" s="892"/>
      <c r="L100" s="303"/>
      <c r="M100" s="303"/>
      <c r="N100" s="303"/>
      <c r="O100" s="303"/>
      <c r="P100" s="185"/>
      <c r="Q100" s="185"/>
      <c r="R100" s="185"/>
      <c r="S100" s="185"/>
      <c r="T100" s="185"/>
      <c r="U100" s="185"/>
    </row>
    <row r="101" spans="1:21">
      <c r="A101" s="185"/>
      <c r="B101" s="661"/>
      <c r="C101" s="185"/>
      <c r="D101" s="303"/>
      <c r="E101" s="303"/>
      <c r="F101" s="303"/>
      <c r="G101" s="316"/>
      <c r="H101" s="303"/>
      <c r="I101" s="303"/>
      <c r="J101" s="892"/>
      <c r="K101" s="892"/>
      <c r="L101" s="303"/>
      <c r="M101" s="303"/>
      <c r="N101" s="303"/>
      <c r="O101" s="303"/>
      <c r="P101" s="185"/>
      <c r="Q101" s="185"/>
      <c r="R101" s="185"/>
      <c r="S101" s="185"/>
      <c r="T101" s="185"/>
      <c r="U101" s="185"/>
    </row>
    <row r="102" spans="1:21">
      <c r="A102" s="185"/>
      <c r="B102" s="661"/>
      <c r="C102" s="185"/>
      <c r="D102" s="303"/>
      <c r="E102" s="303"/>
      <c r="F102" s="303"/>
      <c r="G102" s="316"/>
      <c r="H102" s="303"/>
      <c r="I102" s="303"/>
      <c r="J102" s="892"/>
      <c r="K102" s="892"/>
      <c r="L102" s="303"/>
      <c r="M102" s="303"/>
      <c r="N102" s="303"/>
      <c r="O102" s="303"/>
      <c r="P102" s="185"/>
      <c r="Q102" s="185"/>
      <c r="R102" s="185"/>
      <c r="S102" s="185"/>
      <c r="T102" s="185"/>
      <c r="U102" s="185"/>
    </row>
    <row r="103" spans="1:21">
      <c r="A103" s="185"/>
      <c r="B103" s="661"/>
      <c r="C103" s="185"/>
      <c r="D103" s="303"/>
      <c r="E103" s="303"/>
      <c r="F103" s="303"/>
      <c r="G103" s="316"/>
      <c r="H103" s="303"/>
      <c r="I103" s="303"/>
      <c r="J103" s="892"/>
      <c r="K103" s="892"/>
      <c r="L103" s="303"/>
      <c r="M103" s="303"/>
      <c r="N103" s="303"/>
      <c r="O103" s="303"/>
      <c r="P103" s="185"/>
      <c r="Q103" s="185"/>
      <c r="R103" s="185"/>
      <c r="S103" s="185"/>
      <c r="T103" s="185"/>
      <c r="U103" s="185"/>
    </row>
    <row r="104" spans="1:21">
      <c r="A104" s="185"/>
      <c r="B104" s="661"/>
      <c r="C104" s="185"/>
      <c r="D104" s="303"/>
      <c r="E104" s="303"/>
      <c r="F104" s="303"/>
      <c r="G104" s="316"/>
      <c r="H104" s="303"/>
      <c r="I104" s="303"/>
      <c r="J104" s="892"/>
      <c r="K104" s="892"/>
      <c r="L104" s="303"/>
      <c r="M104" s="303"/>
      <c r="N104" s="303"/>
      <c r="O104" s="303"/>
      <c r="P104" s="185"/>
      <c r="Q104" s="185"/>
      <c r="R104" s="185"/>
      <c r="S104" s="185"/>
      <c r="T104" s="185"/>
      <c r="U104" s="185"/>
    </row>
    <row r="105" spans="1:21">
      <c r="A105" s="185"/>
      <c r="B105" s="754"/>
      <c r="C105" s="755"/>
      <c r="D105" s="769"/>
      <c r="E105" s="769"/>
      <c r="F105" s="769"/>
      <c r="G105" s="312"/>
      <c r="H105" s="664"/>
      <c r="I105" s="303"/>
      <c r="J105" s="892"/>
      <c r="K105" s="892"/>
      <c r="L105" s="303"/>
      <c r="M105" s="303"/>
      <c r="N105" s="303"/>
      <c r="O105" s="303"/>
      <c r="P105" s="185"/>
      <c r="Q105" s="185"/>
      <c r="R105" s="185"/>
      <c r="S105" s="185"/>
      <c r="T105" s="185"/>
      <c r="U105" s="185"/>
    </row>
    <row r="106" spans="1:21">
      <c r="A106" s="185"/>
      <c r="B106" s="754"/>
      <c r="C106" s="753"/>
      <c r="D106" s="889"/>
      <c r="E106" s="889"/>
      <c r="F106" s="889"/>
      <c r="G106" s="312"/>
      <c r="H106" s="664"/>
      <c r="I106" s="314"/>
      <c r="J106" s="891"/>
      <c r="K106" s="891"/>
      <c r="L106" s="303"/>
      <c r="M106" s="303"/>
      <c r="N106" s="303"/>
      <c r="O106" s="303"/>
      <c r="P106" s="185"/>
      <c r="Q106" s="185"/>
      <c r="R106" s="185"/>
      <c r="S106" s="185"/>
      <c r="T106" s="185"/>
      <c r="U106" s="185"/>
    </row>
    <row r="107" spans="1:21">
      <c r="A107" s="185"/>
      <c r="B107" s="754"/>
      <c r="C107" s="753"/>
      <c r="D107" s="762"/>
      <c r="E107" s="306"/>
      <c r="F107" s="762"/>
      <c r="G107" s="306"/>
      <c r="H107" s="316"/>
      <c r="I107" s="303"/>
      <c r="J107" s="892"/>
      <c r="K107" s="892"/>
      <c r="L107" s="303"/>
      <c r="M107" s="303"/>
      <c r="N107" s="303"/>
      <c r="O107" s="303"/>
      <c r="P107" s="185"/>
      <c r="Q107" s="185"/>
      <c r="R107" s="185"/>
      <c r="S107" s="185"/>
      <c r="T107" s="185"/>
      <c r="U107" s="185"/>
    </row>
    <row r="108" spans="1:21">
      <c r="A108" s="185"/>
      <c r="B108" s="754"/>
      <c r="C108" s="753"/>
      <c r="D108" s="903"/>
      <c r="E108" s="889"/>
      <c r="F108" s="889"/>
      <c r="G108" s="312"/>
      <c r="H108" s="663"/>
      <c r="I108" s="663"/>
      <c r="J108" s="891"/>
      <c r="K108" s="891"/>
      <c r="L108" s="303"/>
      <c r="M108" s="303"/>
      <c r="N108" s="303"/>
      <c r="O108" s="303"/>
      <c r="P108" s="185"/>
      <c r="Q108" s="185"/>
      <c r="R108" s="185"/>
      <c r="S108" s="185"/>
      <c r="T108" s="185"/>
      <c r="U108" s="185"/>
    </row>
    <row r="109" spans="1:21">
      <c r="A109" s="185"/>
      <c r="B109" s="754"/>
      <c r="C109" s="753"/>
      <c r="D109" s="904"/>
      <c r="E109" s="890"/>
      <c r="F109" s="890"/>
      <c r="G109" s="313"/>
      <c r="H109" s="905"/>
      <c r="I109" s="905"/>
      <c r="J109" s="891"/>
      <c r="K109" s="891"/>
      <c r="L109" s="303"/>
      <c r="M109" s="303"/>
      <c r="N109" s="303"/>
      <c r="O109" s="303"/>
      <c r="P109" s="185"/>
      <c r="Q109" s="185"/>
      <c r="R109" s="185"/>
      <c r="S109" s="185"/>
      <c r="T109" s="185"/>
      <c r="U109" s="185"/>
    </row>
    <row r="110" spans="1:21">
      <c r="A110" s="185"/>
      <c r="B110" s="754"/>
      <c r="C110" s="753"/>
      <c r="D110" s="904"/>
      <c r="E110" s="890"/>
      <c r="F110" s="890"/>
      <c r="G110" s="313"/>
      <c r="H110" s="905"/>
      <c r="I110" s="905"/>
      <c r="J110" s="891"/>
      <c r="K110" s="891"/>
      <c r="L110" s="303"/>
      <c r="M110" s="303"/>
      <c r="N110" s="303"/>
      <c r="O110" s="303"/>
      <c r="P110" s="185"/>
      <c r="Q110" s="185"/>
      <c r="R110" s="185"/>
      <c r="S110" s="185"/>
      <c r="T110" s="185"/>
      <c r="U110" s="185"/>
    </row>
    <row r="111" spans="1:21">
      <c r="A111" s="185"/>
      <c r="B111" s="754"/>
      <c r="C111" s="753"/>
      <c r="D111" s="904"/>
      <c r="E111" s="890"/>
      <c r="F111" s="890"/>
      <c r="G111" s="313"/>
      <c r="H111" s="905"/>
      <c r="I111" s="905"/>
      <c r="J111" s="891"/>
      <c r="K111" s="891"/>
      <c r="L111" s="303"/>
      <c r="M111" s="303"/>
      <c r="N111" s="303"/>
      <c r="O111" s="303"/>
      <c r="P111" s="185"/>
      <c r="Q111" s="185"/>
      <c r="R111" s="185"/>
      <c r="S111" s="185"/>
      <c r="T111" s="185"/>
      <c r="U111" s="185"/>
    </row>
    <row r="112" spans="1:21">
      <c r="A112" s="185"/>
      <c r="B112" s="754"/>
      <c r="C112" s="753"/>
      <c r="D112" s="904"/>
      <c r="E112" s="890"/>
      <c r="F112" s="890"/>
      <c r="G112" s="313"/>
      <c r="H112" s="905"/>
      <c r="I112" s="905"/>
      <c r="J112" s="891"/>
      <c r="K112" s="891"/>
      <c r="L112" s="303"/>
      <c r="M112" s="303"/>
      <c r="N112" s="303"/>
      <c r="O112" s="303"/>
      <c r="P112" s="185"/>
      <c r="Q112" s="185"/>
      <c r="R112" s="185"/>
      <c r="S112" s="185"/>
      <c r="T112" s="185"/>
      <c r="U112" s="185"/>
    </row>
    <row r="113" spans="1:21">
      <c r="A113" s="185"/>
      <c r="B113" s="754"/>
      <c r="C113" s="753"/>
      <c r="D113" s="904"/>
      <c r="E113" s="890"/>
      <c r="F113" s="890"/>
      <c r="G113" s="313"/>
      <c r="H113" s="905"/>
      <c r="I113" s="905"/>
      <c r="J113" s="891"/>
      <c r="K113" s="891"/>
      <c r="L113" s="303"/>
      <c r="M113" s="303"/>
      <c r="N113" s="303"/>
      <c r="O113" s="303"/>
      <c r="P113" s="185"/>
      <c r="Q113" s="185"/>
      <c r="R113" s="185"/>
      <c r="S113" s="185"/>
      <c r="T113" s="185"/>
      <c r="U113" s="185"/>
    </row>
    <row r="114" spans="1:21">
      <c r="A114" s="185"/>
      <c r="B114" s="754"/>
      <c r="C114" s="753"/>
      <c r="D114" s="904"/>
      <c r="E114" s="890"/>
      <c r="F114" s="890"/>
      <c r="G114" s="313"/>
      <c r="H114" s="905"/>
      <c r="I114" s="905"/>
      <c r="J114" s="891"/>
      <c r="K114" s="891"/>
      <c r="L114" s="303"/>
      <c r="M114" s="303"/>
      <c r="N114" s="303"/>
      <c r="O114" s="303"/>
      <c r="P114" s="185"/>
      <c r="Q114" s="185"/>
      <c r="R114" s="185"/>
      <c r="S114" s="185"/>
      <c r="T114" s="185"/>
      <c r="U114" s="185"/>
    </row>
    <row r="115" spans="1:21">
      <c r="A115" s="185"/>
      <c r="B115" s="754"/>
      <c r="C115" s="753"/>
      <c r="D115" s="904"/>
      <c r="E115" s="890"/>
      <c r="F115" s="890"/>
      <c r="G115" s="313"/>
      <c r="H115" s="905"/>
      <c r="I115" s="905"/>
      <c r="J115" s="891"/>
      <c r="K115" s="891"/>
      <c r="L115" s="303"/>
      <c r="M115" s="303"/>
      <c r="N115" s="303"/>
      <c r="O115" s="303"/>
      <c r="P115" s="185"/>
      <c r="Q115" s="185"/>
      <c r="R115" s="185"/>
      <c r="S115" s="185"/>
      <c r="T115" s="185"/>
      <c r="U115" s="185"/>
    </row>
    <row r="116" spans="1:21">
      <c r="A116" s="185"/>
      <c r="B116" s="754"/>
      <c r="C116" s="753"/>
      <c r="D116" s="904"/>
      <c r="E116" s="890"/>
      <c r="F116" s="890"/>
      <c r="G116" s="313"/>
      <c r="H116" s="905"/>
      <c r="I116" s="905"/>
      <c r="J116" s="891"/>
      <c r="K116" s="891"/>
      <c r="L116" s="303"/>
      <c r="M116" s="303"/>
      <c r="N116" s="303"/>
      <c r="O116" s="303"/>
      <c r="P116" s="185"/>
      <c r="Q116" s="185"/>
      <c r="R116" s="185"/>
      <c r="S116" s="185"/>
      <c r="T116" s="185"/>
      <c r="U116" s="185"/>
    </row>
    <row r="117" spans="1:21">
      <c r="A117" s="185"/>
      <c r="B117" s="754"/>
      <c r="C117" s="753"/>
      <c r="D117" s="904"/>
      <c r="E117" s="890"/>
      <c r="F117" s="890"/>
      <c r="G117" s="313"/>
      <c r="H117" s="905"/>
      <c r="I117" s="905"/>
      <c r="J117" s="891"/>
      <c r="K117" s="891"/>
      <c r="L117" s="303"/>
      <c r="M117" s="303"/>
      <c r="N117" s="303"/>
      <c r="O117" s="303"/>
      <c r="P117" s="185"/>
      <c r="Q117" s="185"/>
      <c r="R117" s="185"/>
      <c r="S117" s="185"/>
      <c r="T117" s="185"/>
      <c r="U117" s="185"/>
    </row>
    <row r="118" spans="1:21">
      <c r="A118" s="185"/>
      <c r="B118" s="754"/>
      <c r="C118" s="753"/>
      <c r="D118" s="904"/>
      <c r="E118" s="890"/>
      <c r="F118" s="890"/>
      <c r="G118" s="313"/>
      <c r="H118" s="905"/>
      <c r="I118" s="905"/>
      <c r="J118" s="891"/>
      <c r="K118" s="891"/>
      <c r="L118" s="303"/>
      <c r="M118" s="303"/>
      <c r="N118" s="303"/>
      <c r="O118" s="303"/>
      <c r="P118" s="185"/>
      <c r="Q118" s="185"/>
      <c r="R118" s="185"/>
      <c r="S118" s="185"/>
      <c r="T118" s="185"/>
      <c r="U118" s="185"/>
    </row>
    <row r="119" spans="1:21">
      <c r="A119" s="185"/>
      <c r="B119" s="754"/>
      <c r="C119" s="753"/>
      <c r="D119" s="904"/>
      <c r="E119" s="890"/>
      <c r="F119" s="890"/>
      <c r="G119" s="313"/>
      <c r="H119" s="905"/>
      <c r="I119" s="905"/>
      <c r="J119" s="891"/>
      <c r="K119" s="891"/>
      <c r="L119" s="303"/>
      <c r="M119" s="303"/>
      <c r="N119" s="303"/>
      <c r="O119" s="303"/>
      <c r="P119" s="185"/>
      <c r="Q119" s="185"/>
      <c r="R119" s="185"/>
      <c r="S119" s="185"/>
      <c r="T119" s="185"/>
      <c r="U119" s="185"/>
    </row>
    <row r="120" spans="1:21">
      <c r="A120" s="185"/>
      <c r="B120" s="754"/>
      <c r="C120" s="753"/>
      <c r="D120" s="762"/>
      <c r="E120" s="306"/>
      <c r="F120" s="762"/>
      <c r="G120" s="306"/>
      <c r="H120" s="316"/>
      <c r="I120" s="303"/>
      <c r="J120" s="892"/>
      <c r="K120" s="892"/>
      <c r="L120" s="303"/>
      <c r="M120" s="303"/>
      <c r="N120" s="303"/>
      <c r="O120" s="303"/>
      <c r="P120" s="185"/>
      <c r="Q120" s="185"/>
      <c r="R120" s="185"/>
      <c r="S120" s="185"/>
      <c r="T120" s="185"/>
      <c r="U120" s="185"/>
    </row>
    <row r="121" spans="1:21" s="95" customFormat="1">
      <c r="A121" s="316"/>
      <c r="B121" s="763"/>
      <c r="C121" s="762"/>
      <c r="D121" s="312"/>
      <c r="E121" s="312"/>
      <c r="F121" s="312"/>
      <c r="G121" s="312"/>
      <c r="H121" s="312"/>
      <c r="I121" s="312"/>
      <c r="J121" s="891"/>
      <c r="K121" s="891"/>
      <c r="L121" s="303"/>
      <c r="M121" s="303"/>
      <c r="N121" s="303"/>
      <c r="O121" s="303"/>
      <c r="P121" s="185"/>
      <c r="Q121" s="185"/>
      <c r="R121" s="185"/>
      <c r="S121" s="185"/>
      <c r="T121" s="185"/>
      <c r="U121" s="185"/>
    </row>
    <row r="122" spans="1:21">
      <c r="A122" s="185"/>
      <c r="B122" s="754"/>
      <c r="C122" s="753"/>
      <c r="D122" s="762"/>
      <c r="E122" s="306"/>
      <c r="F122" s="762"/>
      <c r="G122" s="306"/>
      <c r="H122" s="762"/>
      <c r="I122" s="306"/>
      <c r="J122" s="892"/>
      <c r="K122" s="892"/>
      <c r="L122" s="303"/>
      <c r="M122" s="303"/>
      <c r="N122" s="303"/>
      <c r="O122" s="303"/>
      <c r="P122" s="185"/>
      <c r="Q122" s="185"/>
      <c r="R122" s="185"/>
      <c r="S122" s="185"/>
      <c r="T122" s="185"/>
      <c r="U122" s="185"/>
    </row>
    <row r="123" spans="1:21" s="95" customFormat="1">
      <c r="A123" s="316"/>
      <c r="B123" s="763"/>
      <c r="C123" s="762"/>
      <c r="D123" s="312"/>
      <c r="E123" s="312"/>
      <c r="F123" s="312"/>
      <c r="G123" s="312"/>
      <c r="H123" s="312"/>
      <c r="I123" s="312"/>
      <c r="J123" s="891"/>
      <c r="K123" s="891"/>
      <c r="L123" s="303"/>
      <c r="M123" s="303"/>
      <c r="N123" s="303"/>
      <c r="O123" s="303"/>
      <c r="P123" s="185"/>
      <c r="Q123" s="185"/>
      <c r="R123" s="185"/>
      <c r="S123" s="185"/>
      <c r="T123" s="185"/>
      <c r="U123" s="185"/>
    </row>
    <row r="124" spans="1:21">
      <c r="A124" s="185"/>
      <c r="B124" s="662"/>
      <c r="C124" s="186"/>
      <c r="D124" s="316"/>
      <c r="E124" s="303"/>
      <c r="F124" s="316"/>
      <c r="G124" s="303"/>
      <c r="H124" s="316"/>
      <c r="I124" s="303"/>
      <c r="J124" s="892"/>
      <c r="K124" s="892"/>
      <c r="L124" s="303"/>
      <c r="M124" s="303"/>
      <c r="N124" s="303"/>
      <c r="O124" s="303"/>
      <c r="P124" s="185"/>
      <c r="Q124" s="185"/>
      <c r="R124" s="185"/>
      <c r="S124" s="185"/>
      <c r="T124" s="185"/>
      <c r="U124" s="185"/>
    </row>
    <row r="125" spans="1:21">
      <c r="A125" s="185"/>
      <c r="B125" s="662"/>
      <c r="C125" s="186"/>
      <c r="D125" s="316"/>
      <c r="E125" s="303"/>
      <c r="F125" s="316"/>
      <c r="G125" s="303"/>
      <c r="H125" s="316"/>
      <c r="I125" s="303"/>
      <c r="J125" s="892"/>
      <c r="K125" s="892"/>
      <c r="L125" s="303"/>
      <c r="M125" s="303"/>
      <c r="N125" s="303"/>
      <c r="O125" s="303"/>
      <c r="P125" s="185"/>
      <c r="Q125" s="185"/>
      <c r="R125" s="185"/>
      <c r="S125" s="185"/>
      <c r="T125" s="185"/>
      <c r="U125" s="185"/>
    </row>
    <row r="126" spans="1:21">
      <c r="A126" s="185"/>
      <c r="B126" s="906"/>
      <c r="C126" s="907"/>
      <c r="D126" s="316"/>
      <c r="E126" s="303"/>
      <c r="F126" s="316"/>
      <c r="G126" s="303"/>
      <c r="H126" s="316"/>
      <c r="I126" s="303"/>
      <c r="J126" s="892"/>
      <c r="K126" s="892"/>
      <c r="L126" s="303"/>
      <c r="M126" s="303"/>
      <c r="N126" s="303"/>
      <c r="O126" s="303"/>
      <c r="P126" s="185"/>
      <c r="Q126" s="185"/>
      <c r="R126" s="185"/>
      <c r="S126" s="185"/>
      <c r="T126" s="185"/>
      <c r="U126" s="185"/>
    </row>
    <row r="127" spans="1:21">
      <c r="A127" s="185"/>
      <c r="B127" s="662"/>
      <c r="C127" s="186"/>
      <c r="D127" s="316"/>
      <c r="E127" s="303"/>
      <c r="F127" s="316"/>
      <c r="G127" s="303"/>
      <c r="H127" s="316"/>
      <c r="I127" s="303"/>
      <c r="J127" s="892"/>
      <c r="K127" s="892"/>
      <c r="L127" s="303"/>
      <c r="M127" s="303"/>
      <c r="N127" s="303"/>
      <c r="O127" s="303"/>
      <c r="P127" s="185"/>
      <c r="Q127" s="185"/>
      <c r="R127" s="185"/>
      <c r="S127" s="185"/>
      <c r="T127" s="185"/>
      <c r="U127" s="185"/>
    </row>
    <row r="128" spans="1:21">
      <c r="A128" s="185"/>
      <c r="B128" s="908"/>
      <c r="C128" s="186"/>
      <c r="D128" s="316"/>
      <c r="E128" s="303"/>
      <c r="F128" s="316"/>
      <c r="G128" s="303"/>
      <c r="H128" s="316"/>
      <c r="I128" s="303"/>
      <c r="J128" s="892"/>
      <c r="K128" s="892"/>
      <c r="L128" s="303"/>
      <c r="M128" s="303"/>
      <c r="N128" s="303"/>
      <c r="O128" s="303"/>
      <c r="P128" s="185"/>
      <c r="Q128" s="185"/>
      <c r="R128" s="185"/>
      <c r="S128" s="185"/>
      <c r="T128" s="185"/>
      <c r="U128" s="185"/>
    </row>
    <row r="129" spans="1:21">
      <c r="A129" s="185"/>
      <c r="B129" s="662"/>
      <c r="C129" s="186"/>
      <c r="D129" s="316"/>
      <c r="E129" s="303"/>
      <c r="F129" s="316"/>
      <c r="G129" s="303"/>
      <c r="H129" s="316"/>
      <c r="I129" s="303"/>
      <c r="J129" s="892"/>
      <c r="K129" s="892"/>
      <c r="L129" s="303"/>
      <c r="M129" s="303"/>
      <c r="N129" s="303"/>
      <c r="O129" s="303"/>
      <c r="P129" s="185"/>
      <c r="Q129" s="185"/>
      <c r="R129" s="185"/>
      <c r="S129" s="185"/>
      <c r="T129" s="185"/>
      <c r="U129" s="185"/>
    </row>
    <row r="130" spans="1:21">
      <c r="A130" s="185"/>
      <c r="B130" s="662"/>
      <c r="C130" s="186"/>
      <c r="D130" s="316"/>
      <c r="E130" s="303"/>
      <c r="F130" s="316"/>
      <c r="G130" s="303"/>
      <c r="H130" s="316"/>
      <c r="I130" s="303"/>
      <c r="J130" s="892"/>
      <c r="K130" s="892"/>
      <c r="L130" s="303"/>
      <c r="M130" s="303"/>
      <c r="N130" s="303"/>
      <c r="O130" s="303"/>
      <c r="P130" s="185"/>
      <c r="Q130" s="185"/>
      <c r="R130" s="185"/>
      <c r="S130" s="185"/>
      <c r="T130" s="185"/>
      <c r="U130" s="185"/>
    </row>
    <row r="131" spans="1:21">
      <c r="A131" s="185"/>
      <c r="B131" s="661"/>
      <c r="C131" s="185"/>
      <c r="D131" s="303"/>
      <c r="E131" s="303"/>
      <c r="F131" s="303"/>
      <c r="G131" s="316"/>
      <c r="H131" s="303"/>
      <c r="I131" s="303"/>
      <c r="J131" s="892"/>
      <c r="K131" s="892"/>
      <c r="L131" s="303"/>
      <c r="M131" s="303"/>
      <c r="N131" s="303"/>
      <c r="O131" s="303"/>
      <c r="P131" s="185"/>
      <c r="Q131" s="185"/>
      <c r="R131" s="185"/>
      <c r="S131" s="185"/>
      <c r="T131" s="185"/>
      <c r="U131" s="185"/>
    </row>
    <row r="132" spans="1:21">
      <c r="A132" s="185"/>
      <c r="B132" s="661"/>
      <c r="C132" s="185"/>
      <c r="D132" s="185"/>
      <c r="E132" s="185"/>
      <c r="F132" s="185"/>
      <c r="G132" s="186"/>
      <c r="H132" s="185"/>
      <c r="I132" s="185"/>
      <c r="J132" s="752"/>
      <c r="K132" s="752"/>
      <c r="L132" s="185"/>
      <c r="M132" s="185"/>
      <c r="N132" s="185"/>
      <c r="O132" s="185"/>
      <c r="P132" s="185"/>
      <c r="Q132" s="185"/>
      <c r="R132" s="185"/>
      <c r="S132" s="185"/>
      <c r="T132" s="185"/>
      <c r="U132" s="185"/>
    </row>
    <row r="133" spans="1:21">
      <c r="A133" s="185"/>
      <c r="B133" s="661"/>
      <c r="C133" s="185"/>
      <c r="D133" s="185"/>
      <c r="E133" s="185"/>
      <c r="F133" s="185"/>
      <c r="G133" s="186"/>
      <c r="H133" s="185"/>
      <c r="I133" s="185"/>
      <c r="J133" s="752"/>
      <c r="K133" s="752"/>
      <c r="L133" s="185"/>
      <c r="M133" s="185"/>
      <c r="N133" s="185"/>
      <c r="O133" s="185"/>
      <c r="P133" s="185"/>
      <c r="Q133" s="185"/>
      <c r="R133" s="185"/>
      <c r="S133" s="185"/>
      <c r="T133" s="185"/>
      <c r="U133" s="185"/>
    </row>
    <row r="134" spans="1:21">
      <c r="A134" s="185"/>
      <c r="B134" s="661"/>
      <c r="C134" s="185"/>
      <c r="D134" s="185"/>
      <c r="E134" s="185"/>
      <c r="F134" s="185"/>
      <c r="G134" s="186"/>
      <c r="H134" s="185"/>
      <c r="I134" s="185"/>
      <c r="J134" s="752"/>
      <c r="K134" s="752"/>
      <c r="L134" s="185"/>
      <c r="M134" s="185"/>
      <c r="N134" s="185"/>
      <c r="O134" s="185"/>
      <c r="P134" s="185"/>
      <c r="Q134" s="185"/>
      <c r="R134" s="185"/>
      <c r="S134" s="185"/>
      <c r="T134" s="185"/>
      <c r="U134" s="185"/>
    </row>
    <row r="135" spans="1:21">
      <c r="A135" s="185"/>
      <c r="B135" s="661"/>
      <c r="C135" s="185"/>
      <c r="D135" s="185"/>
      <c r="E135" s="185"/>
      <c r="F135" s="185"/>
      <c r="G135" s="186"/>
      <c r="H135" s="185"/>
      <c r="I135" s="185"/>
      <c r="J135" s="752"/>
      <c r="K135" s="752"/>
      <c r="L135" s="185"/>
      <c r="M135" s="185"/>
      <c r="N135" s="185"/>
      <c r="O135" s="185"/>
      <c r="P135" s="185"/>
      <c r="Q135" s="185"/>
      <c r="R135" s="185"/>
      <c r="S135" s="185"/>
      <c r="T135" s="185"/>
      <c r="U135" s="185"/>
    </row>
    <row r="136" spans="1:21">
      <c r="A136" s="185"/>
      <c r="B136" s="661"/>
      <c r="C136" s="185"/>
      <c r="D136" s="185"/>
      <c r="E136" s="185"/>
      <c r="F136" s="185"/>
      <c r="G136" s="186"/>
      <c r="H136" s="185"/>
      <c r="I136" s="185"/>
      <c r="J136" s="752"/>
      <c r="K136" s="752"/>
      <c r="L136" s="185"/>
      <c r="M136" s="185"/>
      <c r="N136" s="185"/>
      <c r="O136" s="185"/>
      <c r="P136" s="185"/>
      <c r="Q136" s="185"/>
      <c r="R136" s="185"/>
      <c r="S136" s="185"/>
      <c r="T136" s="185"/>
      <c r="U136" s="185"/>
    </row>
    <row r="137" spans="1:21">
      <c r="A137" s="185"/>
      <c r="B137" s="661"/>
      <c r="C137" s="185"/>
      <c r="D137" s="185"/>
      <c r="E137" s="185"/>
      <c r="F137" s="185"/>
      <c r="G137" s="186"/>
      <c r="H137" s="185"/>
      <c r="I137" s="185"/>
      <c r="J137" s="752"/>
      <c r="K137" s="752"/>
      <c r="L137" s="185"/>
      <c r="M137" s="185"/>
      <c r="N137" s="185"/>
      <c r="O137" s="185"/>
      <c r="P137" s="185"/>
      <c r="Q137" s="185"/>
      <c r="R137" s="185"/>
      <c r="S137" s="185"/>
      <c r="T137" s="185"/>
      <c r="U137" s="185"/>
    </row>
    <row r="138" spans="1:21">
      <c r="A138" s="185"/>
      <c r="B138" s="661"/>
      <c r="C138" s="185"/>
      <c r="D138" s="185"/>
      <c r="E138" s="185"/>
      <c r="F138" s="185"/>
      <c r="G138" s="186"/>
      <c r="H138" s="185"/>
      <c r="I138" s="185"/>
      <c r="J138" s="752"/>
      <c r="K138" s="752"/>
      <c r="L138" s="185"/>
      <c r="M138" s="185"/>
      <c r="N138" s="185"/>
      <c r="O138" s="185"/>
      <c r="P138" s="185"/>
      <c r="Q138" s="185"/>
      <c r="R138" s="185"/>
      <c r="S138" s="185"/>
      <c r="T138" s="185"/>
      <c r="U138" s="185"/>
    </row>
    <row r="139" spans="1:21">
      <c r="A139" s="185"/>
      <c r="B139" s="661"/>
      <c r="C139" s="185"/>
      <c r="D139" s="185"/>
      <c r="E139" s="185"/>
      <c r="F139" s="185"/>
      <c r="G139" s="186"/>
      <c r="H139" s="185"/>
      <c r="I139" s="185"/>
      <c r="J139" s="752"/>
      <c r="K139" s="752"/>
      <c r="L139" s="185"/>
      <c r="M139" s="185"/>
      <c r="N139" s="185"/>
      <c r="O139" s="185"/>
      <c r="P139" s="185"/>
      <c r="Q139" s="185"/>
      <c r="R139" s="185"/>
      <c r="S139" s="185"/>
      <c r="T139" s="185"/>
      <c r="U139" s="185"/>
    </row>
    <row r="140" spans="1:21">
      <c r="A140" s="185"/>
      <c r="B140" s="661"/>
      <c r="C140" s="185"/>
      <c r="D140" s="185"/>
      <c r="E140" s="185"/>
      <c r="F140" s="185"/>
      <c r="G140" s="186"/>
      <c r="H140" s="185"/>
      <c r="I140" s="185"/>
      <c r="J140" s="752"/>
      <c r="K140" s="752"/>
      <c r="L140" s="185"/>
      <c r="M140" s="185"/>
      <c r="N140" s="185"/>
      <c r="O140" s="185"/>
      <c r="P140" s="185"/>
      <c r="Q140" s="185"/>
      <c r="R140" s="185"/>
      <c r="S140" s="185"/>
      <c r="T140" s="185"/>
      <c r="U140" s="185"/>
    </row>
    <row r="141" spans="1:21">
      <c r="A141" s="185"/>
      <c r="B141" s="661"/>
      <c r="C141" s="185"/>
      <c r="D141" s="185"/>
      <c r="E141" s="185"/>
      <c r="F141" s="185"/>
      <c r="G141" s="186"/>
      <c r="H141" s="185"/>
      <c r="I141" s="185"/>
      <c r="J141" s="752"/>
      <c r="K141" s="752"/>
      <c r="L141" s="185"/>
      <c r="M141" s="185"/>
      <c r="N141" s="185"/>
      <c r="O141" s="185"/>
      <c r="P141" s="185"/>
      <c r="Q141" s="185"/>
      <c r="R141" s="185"/>
      <c r="S141" s="185"/>
      <c r="T141" s="185"/>
      <c r="U141" s="185"/>
    </row>
    <row r="142" spans="1:21">
      <c r="A142" s="185"/>
      <c r="B142" s="661"/>
      <c r="C142" s="185"/>
      <c r="D142" s="185"/>
      <c r="E142" s="185"/>
      <c r="F142" s="185"/>
      <c r="G142" s="186"/>
      <c r="H142" s="185"/>
      <c r="I142" s="185"/>
      <c r="J142" s="752"/>
      <c r="K142" s="752"/>
      <c r="L142" s="185"/>
      <c r="M142" s="185"/>
      <c r="N142" s="185"/>
      <c r="O142" s="185"/>
      <c r="P142" s="185"/>
      <c r="Q142" s="185"/>
      <c r="R142" s="185"/>
      <c r="S142" s="185"/>
      <c r="T142" s="185"/>
      <c r="U142" s="185"/>
    </row>
    <row r="143" spans="1:21">
      <c r="A143" s="185"/>
      <c r="B143" s="661"/>
      <c r="C143" s="185"/>
      <c r="D143" s="185"/>
      <c r="E143" s="185"/>
      <c r="F143" s="185"/>
      <c r="G143" s="186"/>
      <c r="H143" s="185"/>
      <c r="I143" s="185"/>
      <c r="J143" s="752"/>
      <c r="K143" s="752"/>
      <c r="L143" s="185"/>
      <c r="M143" s="185"/>
      <c r="N143" s="185"/>
      <c r="O143" s="185"/>
      <c r="P143" s="185"/>
      <c r="Q143" s="185"/>
      <c r="R143" s="185"/>
      <c r="S143" s="185"/>
      <c r="T143" s="185"/>
      <c r="U143" s="185"/>
    </row>
    <row r="144" spans="1:21">
      <c r="A144" s="185"/>
      <c r="B144" s="661"/>
      <c r="C144" s="185"/>
      <c r="D144" s="185"/>
      <c r="E144" s="185"/>
      <c r="F144" s="185"/>
      <c r="G144" s="186"/>
      <c r="H144" s="185"/>
      <c r="I144" s="185"/>
      <c r="J144" s="752"/>
      <c r="K144" s="752"/>
      <c r="L144" s="185"/>
      <c r="M144" s="185"/>
      <c r="N144" s="185"/>
      <c r="O144" s="185"/>
      <c r="P144" s="185"/>
      <c r="Q144" s="185"/>
      <c r="R144" s="185"/>
      <c r="S144" s="185"/>
      <c r="T144" s="185"/>
      <c r="U144" s="185"/>
    </row>
    <row r="145" spans="1:21">
      <c r="A145" s="185"/>
      <c r="B145" s="661"/>
      <c r="C145" s="185"/>
      <c r="D145" s="185"/>
      <c r="E145" s="185"/>
      <c r="F145" s="185"/>
      <c r="G145" s="186"/>
      <c r="H145" s="185"/>
      <c r="I145" s="185"/>
      <c r="J145" s="752"/>
      <c r="K145" s="752"/>
      <c r="L145" s="185"/>
      <c r="M145" s="185"/>
      <c r="N145" s="185"/>
      <c r="O145" s="185"/>
      <c r="P145" s="185"/>
      <c r="Q145" s="185"/>
      <c r="R145" s="185"/>
      <c r="S145" s="185"/>
      <c r="T145" s="185"/>
      <c r="U145" s="185"/>
    </row>
    <row r="146" spans="1:21">
      <c r="A146" s="185"/>
      <c r="B146" s="661"/>
      <c r="C146" s="185"/>
      <c r="D146" s="185"/>
      <c r="E146" s="185"/>
      <c r="F146" s="185"/>
      <c r="G146" s="186"/>
      <c r="H146" s="185"/>
      <c r="I146" s="185"/>
      <c r="J146" s="752"/>
      <c r="K146" s="752"/>
      <c r="L146" s="185"/>
      <c r="M146" s="185"/>
      <c r="N146" s="185"/>
      <c r="O146" s="185"/>
      <c r="P146" s="185"/>
      <c r="Q146" s="185"/>
      <c r="R146" s="185"/>
      <c r="S146" s="185"/>
      <c r="T146" s="185"/>
      <c r="U146" s="185"/>
    </row>
    <row r="147" spans="1:21">
      <c r="A147" s="185"/>
      <c r="B147" s="661"/>
      <c r="C147" s="185"/>
      <c r="D147" s="185"/>
      <c r="E147" s="185"/>
      <c r="F147" s="185"/>
      <c r="G147" s="186"/>
      <c r="H147" s="185"/>
      <c r="I147" s="185"/>
      <c r="J147" s="752"/>
      <c r="K147" s="752"/>
      <c r="L147" s="185"/>
      <c r="M147" s="185"/>
      <c r="N147" s="185"/>
      <c r="O147" s="185"/>
      <c r="P147" s="185"/>
      <c r="Q147" s="185"/>
      <c r="R147" s="185"/>
      <c r="S147" s="185"/>
      <c r="T147" s="185"/>
      <c r="U147" s="185"/>
    </row>
    <row r="148" spans="1:21">
      <c r="A148" s="185"/>
      <c r="B148" s="661"/>
      <c r="C148" s="185"/>
      <c r="D148" s="185"/>
      <c r="E148" s="185"/>
      <c r="F148" s="185"/>
      <c r="G148" s="186"/>
      <c r="H148" s="185"/>
      <c r="I148" s="185"/>
      <c r="J148" s="752"/>
      <c r="K148" s="752"/>
      <c r="L148" s="185"/>
      <c r="M148" s="185"/>
      <c r="N148" s="185"/>
      <c r="O148" s="185"/>
      <c r="P148" s="185"/>
      <c r="Q148" s="185"/>
      <c r="R148" s="185"/>
      <c r="S148" s="185"/>
      <c r="T148" s="185"/>
      <c r="U148" s="185"/>
    </row>
    <row r="149" spans="1:21">
      <c r="A149" s="185"/>
      <c r="B149" s="661"/>
      <c r="C149" s="185"/>
      <c r="D149" s="185"/>
      <c r="E149" s="185"/>
      <c r="F149" s="185"/>
      <c r="G149" s="186"/>
      <c r="H149" s="185"/>
      <c r="I149" s="185"/>
      <c r="J149" s="752"/>
      <c r="K149" s="752"/>
      <c r="L149" s="185"/>
      <c r="M149" s="185"/>
      <c r="N149" s="185"/>
      <c r="O149" s="185"/>
      <c r="P149" s="185"/>
      <c r="Q149" s="185"/>
      <c r="R149" s="185"/>
      <c r="S149" s="185"/>
      <c r="T149" s="185"/>
      <c r="U149" s="185"/>
    </row>
    <row r="150" spans="1:21">
      <c r="A150" s="185"/>
      <c r="B150" s="661"/>
      <c r="C150" s="185"/>
      <c r="D150" s="185"/>
      <c r="E150" s="185"/>
      <c r="F150" s="185"/>
      <c r="G150" s="186"/>
      <c r="H150" s="185"/>
      <c r="I150" s="185"/>
      <c r="J150" s="752"/>
      <c r="K150" s="752"/>
      <c r="L150" s="185"/>
      <c r="M150" s="185"/>
      <c r="N150" s="185"/>
      <c r="O150" s="185"/>
      <c r="P150" s="185"/>
      <c r="Q150" s="185"/>
      <c r="R150" s="185"/>
      <c r="S150" s="185"/>
      <c r="T150" s="185"/>
      <c r="U150" s="185"/>
    </row>
    <row r="151" spans="1:21">
      <c r="A151" s="185"/>
      <c r="B151" s="661"/>
      <c r="C151" s="185"/>
      <c r="D151" s="185"/>
      <c r="E151" s="185"/>
      <c r="F151" s="185"/>
      <c r="G151" s="186"/>
      <c r="H151" s="185"/>
      <c r="I151" s="185"/>
      <c r="J151" s="752"/>
      <c r="K151" s="752"/>
      <c r="L151" s="185"/>
      <c r="M151" s="185"/>
      <c r="N151" s="185"/>
      <c r="O151" s="185"/>
      <c r="P151" s="185"/>
      <c r="Q151" s="185"/>
      <c r="R151" s="185"/>
      <c r="S151" s="185"/>
      <c r="T151" s="185"/>
      <c r="U151" s="185"/>
    </row>
    <row r="152" spans="1:21">
      <c r="A152" s="185"/>
      <c r="B152" s="661"/>
      <c r="C152" s="185"/>
      <c r="D152" s="185"/>
      <c r="E152" s="185"/>
      <c r="F152" s="185"/>
      <c r="G152" s="186"/>
      <c r="H152" s="185"/>
      <c r="I152" s="185"/>
      <c r="J152" s="752"/>
      <c r="K152" s="752"/>
      <c r="L152" s="185"/>
      <c r="M152" s="185"/>
      <c r="N152" s="185"/>
      <c r="O152" s="185"/>
      <c r="P152" s="185"/>
      <c r="Q152" s="185"/>
      <c r="R152" s="185"/>
      <c r="S152" s="185"/>
      <c r="T152" s="185"/>
      <c r="U152" s="185"/>
    </row>
    <row r="153" spans="1:21">
      <c r="A153" s="185"/>
      <c r="B153" s="661"/>
      <c r="C153" s="185"/>
      <c r="D153" s="185"/>
      <c r="E153" s="185"/>
      <c r="F153" s="185"/>
      <c r="G153" s="186"/>
      <c r="H153" s="185"/>
      <c r="I153" s="185"/>
      <c r="J153" s="752"/>
      <c r="K153" s="752"/>
      <c r="L153" s="185"/>
      <c r="M153" s="185"/>
      <c r="N153" s="185"/>
      <c r="O153" s="185"/>
      <c r="P153" s="185"/>
      <c r="Q153" s="185"/>
      <c r="R153" s="185"/>
      <c r="S153" s="185"/>
      <c r="T153" s="185"/>
      <c r="U153" s="185"/>
    </row>
    <row r="154" spans="1:21">
      <c r="A154" s="185"/>
      <c r="B154" s="661"/>
      <c r="C154" s="185"/>
      <c r="D154" s="185"/>
      <c r="E154" s="185"/>
      <c r="F154" s="185"/>
      <c r="G154" s="186"/>
      <c r="H154" s="185"/>
      <c r="I154" s="185"/>
      <c r="J154" s="752"/>
      <c r="K154" s="752"/>
      <c r="L154" s="185"/>
      <c r="M154" s="185"/>
      <c r="N154" s="185"/>
      <c r="O154" s="185"/>
      <c r="P154" s="185"/>
      <c r="Q154" s="185"/>
      <c r="R154" s="185"/>
      <c r="S154" s="185"/>
      <c r="T154" s="185"/>
      <c r="U154" s="185"/>
    </row>
    <row r="155" spans="1:21">
      <c r="A155" s="185"/>
      <c r="B155" s="661"/>
      <c r="C155" s="185"/>
      <c r="D155" s="185"/>
      <c r="E155" s="185"/>
      <c r="F155" s="185"/>
      <c r="G155" s="186"/>
      <c r="H155" s="185"/>
      <c r="I155" s="185"/>
      <c r="J155" s="752"/>
      <c r="K155" s="752"/>
      <c r="L155" s="185"/>
      <c r="M155" s="185"/>
      <c r="N155" s="185"/>
      <c r="O155" s="185"/>
      <c r="P155" s="185"/>
      <c r="Q155" s="185"/>
      <c r="R155" s="185"/>
      <c r="S155" s="185"/>
      <c r="T155" s="185"/>
      <c r="U155" s="185"/>
    </row>
    <row r="156" spans="1:21">
      <c r="A156" s="185"/>
      <c r="B156" s="661"/>
      <c r="C156" s="185"/>
      <c r="D156" s="185"/>
      <c r="E156" s="185"/>
      <c r="F156" s="185"/>
      <c r="G156" s="186"/>
      <c r="H156" s="185"/>
      <c r="I156" s="185"/>
      <c r="J156" s="752"/>
      <c r="K156" s="752"/>
      <c r="L156" s="185"/>
      <c r="M156" s="185"/>
      <c r="N156" s="185"/>
      <c r="O156" s="185"/>
      <c r="P156" s="185"/>
      <c r="Q156" s="185"/>
      <c r="R156" s="185"/>
      <c r="S156" s="185"/>
      <c r="T156" s="185"/>
      <c r="U156" s="185"/>
    </row>
    <row r="157" spans="1:21">
      <c r="A157" s="185"/>
      <c r="B157" s="661"/>
      <c r="C157" s="185"/>
      <c r="D157" s="185"/>
      <c r="E157" s="185"/>
      <c r="F157" s="185"/>
      <c r="G157" s="186"/>
      <c r="H157" s="185"/>
      <c r="I157" s="185"/>
      <c r="J157" s="752"/>
      <c r="K157" s="752"/>
      <c r="L157" s="185"/>
      <c r="M157" s="185"/>
      <c r="N157" s="185"/>
      <c r="O157" s="185"/>
      <c r="P157" s="185"/>
      <c r="Q157" s="185"/>
      <c r="R157" s="185"/>
      <c r="S157" s="185"/>
      <c r="T157" s="185"/>
      <c r="U157" s="185"/>
    </row>
    <row r="158" spans="1:21">
      <c r="A158" s="185"/>
      <c r="B158" s="661"/>
      <c r="C158" s="185"/>
      <c r="D158" s="185"/>
      <c r="E158" s="185"/>
      <c r="F158" s="185"/>
      <c r="G158" s="186"/>
      <c r="H158" s="185"/>
      <c r="I158" s="185"/>
      <c r="J158" s="752"/>
      <c r="K158" s="752"/>
      <c r="L158" s="185"/>
      <c r="M158" s="185"/>
      <c r="N158" s="185"/>
      <c r="O158" s="185"/>
      <c r="P158" s="185"/>
      <c r="Q158" s="185"/>
      <c r="R158" s="185"/>
      <c r="S158" s="185"/>
      <c r="T158" s="185"/>
      <c r="U158" s="185"/>
    </row>
    <row r="159" spans="1:21">
      <c r="A159" s="185"/>
      <c r="B159" s="661"/>
      <c r="C159" s="185"/>
      <c r="D159" s="185"/>
      <c r="E159" s="185"/>
      <c r="F159" s="185"/>
      <c r="G159" s="186"/>
      <c r="H159" s="185"/>
      <c r="I159" s="185"/>
      <c r="J159" s="752"/>
      <c r="K159" s="752"/>
      <c r="L159" s="185"/>
      <c r="M159" s="185"/>
      <c r="N159" s="185"/>
      <c r="O159" s="185"/>
      <c r="P159" s="185"/>
      <c r="Q159" s="185"/>
      <c r="R159" s="185"/>
      <c r="S159" s="185"/>
      <c r="T159" s="185"/>
      <c r="U159" s="185"/>
    </row>
    <row r="160" spans="1:21">
      <c r="A160" s="185"/>
      <c r="B160" s="661"/>
      <c r="C160" s="185"/>
      <c r="D160" s="185"/>
      <c r="E160" s="185"/>
      <c r="F160" s="185"/>
      <c r="G160" s="186"/>
      <c r="H160" s="185"/>
      <c r="I160" s="185"/>
      <c r="J160" s="752"/>
      <c r="K160" s="752"/>
      <c r="L160" s="185"/>
      <c r="M160" s="185"/>
      <c r="N160" s="185"/>
      <c r="O160" s="185"/>
      <c r="P160" s="185"/>
      <c r="Q160" s="185"/>
      <c r="R160" s="185"/>
      <c r="S160" s="185"/>
      <c r="T160" s="185"/>
      <c r="U160" s="185"/>
    </row>
    <row r="161" spans="1:21">
      <c r="A161" s="185"/>
      <c r="B161" s="661"/>
      <c r="C161" s="185"/>
      <c r="D161" s="185"/>
      <c r="E161" s="185"/>
      <c r="F161" s="185"/>
      <c r="G161" s="186"/>
      <c r="H161" s="185"/>
      <c r="I161" s="185"/>
      <c r="J161" s="752"/>
      <c r="K161" s="752"/>
      <c r="L161" s="185"/>
      <c r="M161" s="185"/>
      <c r="N161" s="185"/>
      <c r="O161" s="185"/>
      <c r="P161" s="185"/>
      <c r="Q161" s="185"/>
      <c r="R161" s="185"/>
      <c r="S161" s="185"/>
      <c r="T161" s="185"/>
      <c r="U161" s="185"/>
    </row>
    <row r="162" spans="1:21">
      <c r="A162" s="185"/>
      <c r="B162" s="661"/>
      <c r="C162" s="185"/>
      <c r="D162" s="185"/>
      <c r="E162" s="185"/>
      <c r="F162" s="185"/>
      <c r="G162" s="186"/>
      <c r="H162" s="185"/>
      <c r="I162" s="185"/>
      <c r="J162" s="752"/>
      <c r="K162" s="752"/>
      <c r="L162" s="185"/>
      <c r="M162" s="185"/>
      <c r="N162" s="185"/>
      <c r="O162" s="185"/>
      <c r="P162" s="185"/>
      <c r="Q162" s="185"/>
      <c r="R162" s="185"/>
      <c r="S162" s="185"/>
      <c r="T162" s="185"/>
      <c r="U162" s="185"/>
    </row>
    <row r="163" spans="1:21">
      <c r="A163" s="185"/>
      <c r="B163" s="661"/>
      <c r="C163" s="185"/>
      <c r="D163" s="185"/>
      <c r="E163" s="185"/>
      <c r="F163" s="185"/>
      <c r="G163" s="186"/>
      <c r="H163" s="185"/>
      <c r="I163" s="185"/>
      <c r="J163" s="752"/>
      <c r="K163" s="752"/>
      <c r="L163" s="185"/>
      <c r="M163" s="185"/>
      <c r="N163" s="185"/>
      <c r="O163" s="185"/>
      <c r="P163" s="185"/>
      <c r="Q163" s="185"/>
      <c r="R163" s="185"/>
      <c r="S163" s="185"/>
      <c r="T163" s="185"/>
      <c r="U163" s="185"/>
    </row>
    <row r="164" spans="1:21">
      <c r="A164" s="185"/>
      <c r="B164" s="661"/>
      <c r="C164" s="185"/>
      <c r="D164" s="185"/>
      <c r="E164" s="185"/>
      <c r="F164" s="185"/>
      <c r="G164" s="186"/>
      <c r="H164" s="185"/>
      <c r="I164" s="185"/>
      <c r="J164" s="752"/>
      <c r="K164" s="752"/>
      <c r="L164" s="185"/>
      <c r="M164" s="185"/>
      <c r="N164" s="185"/>
      <c r="O164" s="185"/>
      <c r="P164" s="185"/>
      <c r="Q164" s="185"/>
      <c r="R164" s="185"/>
      <c r="S164" s="185"/>
      <c r="T164" s="185"/>
      <c r="U164" s="185"/>
    </row>
    <row r="165" spans="1:21">
      <c r="A165" s="185"/>
      <c r="B165" s="661"/>
      <c r="C165" s="185"/>
      <c r="D165" s="185"/>
      <c r="E165" s="185"/>
      <c r="F165" s="185"/>
      <c r="G165" s="186"/>
      <c r="H165" s="185"/>
      <c r="I165" s="185"/>
      <c r="J165" s="752"/>
      <c r="K165" s="752"/>
      <c r="L165" s="185"/>
      <c r="M165" s="185"/>
      <c r="N165" s="185"/>
      <c r="O165" s="185"/>
      <c r="P165" s="185"/>
      <c r="Q165" s="185"/>
      <c r="R165" s="185"/>
      <c r="S165" s="185"/>
      <c r="T165" s="185"/>
      <c r="U165" s="185"/>
    </row>
    <row r="166" spans="1:21">
      <c r="A166" s="185"/>
      <c r="B166" s="661"/>
      <c r="C166" s="185"/>
      <c r="D166" s="185"/>
      <c r="E166" s="185"/>
      <c r="F166" s="185"/>
      <c r="G166" s="186"/>
      <c r="H166" s="185"/>
      <c r="I166" s="185"/>
      <c r="J166" s="752"/>
      <c r="K166" s="752"/>
      <c r="L166" s="185"/>
      <c r="M166" s="185"/>
      <c r="N166" s="185"/>
      <c r="O166" s="185"/>
      <c r="P166" s="185"/>
      <c r="Q166" s="185"/>
      <c r="R166" s="185"/>
      <c r="S166" s="185"/>
      <c r="T166" s="185"/>
      <c r="U166" s="185"/>
    </row>
    <row r="167" spans="1:21">
      <c r="A167" s="185"/>
      <c r="B167" s="661"/>
      <c r="C167" s="185"/>
      <c r="D167" s="185"/>
      <c r="E167" s="185"/>
      <c r="F167" s="185"/>
      <c r="G167" s="186"/>
      <c r="H167" s="185"/>
      <c r="I167" s="185"/>
      <c r="J167" s="752"/>
      <c r="K167" s="752"/>
      <c r="L167" s="185"/>
      <c r="M167" s="185"/>
      <c r="N167" s="185"/>
      <c r="O167" s="185"/>
      <c r="P167" s="185"/>
      <c r="Q167" s="185"/>
      <c r="R167" s="185"/>
      <c r="S167" s="185"/>
      <c r="T167" s="185"/>
      <c r="U167" s="185"/>
    </row>
    <row r="168" spans="1:21">
      <c r="A168" s="185"/>
      <c r="B168" s="661"/>
      <c r="C168" s="185"/>
      <c r="D168" s="185"/>
      <c r="E168" s="185"/>
      <c r="F168" s="185"/>
      <c r="G168" s="186"/>
      <c r="H168" s="185"/>
      <c r="I168" s="185"/>
      <c r="J168" s="752"/>
      <c r="K168" s="752"/>
      <c r="L168" s="185"/>
      <c r="M168" s="185"/>
      <c r="N168" s="185"/>
      <c r="O168" s="185"/>
      <c r="P168" s="185"/>
      <c r="Q168" s="185"/>
      <c r="R168" s="185"/>
      <c r="S168" s="185"/>
      <c r="T168" s="185"/>
      <c r="U168" s="185"/>
    </row>
    <row r="169" spans="1:21">
      <c r="A169" s="185"/>
      <c r="B169" s="661"/>
      <c r="C169" s="185"/>
      <c r="D169" s="185"/>
      <c r="E169" s="185"/>
      <c r="F169" s="185"/>
      <c r="G169" s="186"/>
      <c r="H169" s="185"/>
      <c r="I169" s="185"/>
      <c r="J169" s="752"/>
      <c r="K169" s="752"/>
      <c r="L169" s="185"/>
      <c r="M169" s="185"/>
      <c r="N169" s="185"/>
      <c r="O169" s="185"/>
      <c r="P169" s="185"/>
      <c r="Q169" s="185"/>
      <c r="R169" s="185"/>
      <c r="S169" s="185"/>
      <c r="T169" s="185"/>
      <c r="U169" s="185"/>
    </row>
    <row r="170" spans="1:21">
      <c r="A170" s="185"/>
      <c r="B170" s="661"/>
      <c r="C170" s="185"/>
      <c r="D170" s="185"/>
      <c r="E170" s="185"/>
      <c r="F170" s="185"/>
      <c r="G170" s="186"/>
      <c r="H170" s="185"/>
      <c r="I170" s="185"/>
      <c r="J170" s="752"/>
      <c r="K170" s="752"/>
      <c r="L170" s="185"/>
      <c r="M170" s="185"/>
      <c r="N170" s="185"/>
      <c r="O170" s="185"/>
      <c r="P170" s="185"/>
      <c r="Q170" s="185"/>
      <c r="R170" s="185"/>
      <c r="S170" s="185"/>
      <c r="T170" s="185"/>
      <c r="U170" s="185"/>
    </row>
    <row r="171" spans="1:21">
      <c r="A171" s="185"/>
      <c r="B171" s="661"/>
      <c r="C171" s="185"/>
      <c r="D171" s="185"/>
      <c r="E171" s="185"/>
      <c r="F171" s="185"/>
      <c r="G171" s="186"/>
      <c r="H171" s="185"/>
      <c r="I171" s="185"/>
      <c r="J171" s="752"/>
      <c r="K171" s="752"/>
      <c r="L171" s="185"/>
      <c r="M171" s="185"/>
      <c r="N171" s="185"/>
      <c r="O171" s="185"/>
      <c r="P171" s="185"/>
      <c r="Q171" s="185"/>
      <c r="R171" s="185"/>
      <c r="S171" s="185"/>
      <c r="T171" s="185"/>
      <c r="U171" s="185"/>
    </row>
    <row r="172" spans="1:21">
      <c r="A172" s="185"/>
      <c r="B172" s="661"/>
      <c r="C172" s="185"/>
      <c r="D172" s="185"/>
      <c r="E172" s="185"/>
      <c r="F172" s="185"/>
      <c r="G172" s="186"/>
      <c r="H172" s="185"/>
      <c r="I172" s="185"/>
      <c r="J172" s="752"/>
      <c r="K172" s="752"/>
      <c r="L172" s="185"/>
      <c r="M172" s="185"/>
      <c r="N172" s="185"/>
      <c r="O172" s="185"/>
      <c r="P172" s="185"/>
      <c r="Q172" s="185"/>
      <c r="R172" s="185"/>
      <c r="S172" s="185"/>
      <c r="T172" s="185"/>
      <c r="U172" s="185"/>
    </row>
    <row r="173" spans="1:21">
      <c r="A173" s="185"/>
      <c r="B173" s="661"/>
      <c r="C173" s="185"/>
      <c r="D173" s="185"/>
      <c r="E173" s="185"/>
      <c r="F173" s="185"/>
      <c r="G173" s="186"/>
      <c r="H173" s="185"/>
      <c r="I173" s="185"/>
      <c r="J173" s="752"/>
      <c r="K173" s="752"/>
      <c r="L173" s="185"/>
      <c r="M173" s="185"/>
      <c r="N173" s="185"/>
      <c r="O173" s="185"/>
      <c r="P173" s="185"/>
      <c r="Q173" s="185"/>
      <c r="R173" s="185"/>
      <c r="S173" s="185"/>
      <c r="T173" s="185"/>
      <c r="U173" s="185"/>
    </row>
    <row r="174" spans="1:21">
      <c r="A174" s="185"/>
      <c r="B174" s="661"/>
      <c r="C174" s="185"/>
      <c r="D174" s="185"/>
      <c r="E174" s="185"/>
      <c r="F174" s="185"/>
      <c r="G174" s="186"/>
      <c r="H174" s="185"/>
      <c r="I174" s="185"/>
      <c r="J174" s="752"/>
      <c r="K174" s="752"/>
      <c r="L174" s="185"/>
      <c r="M174" s="185"/>
      <c r="N174" s="185"/>
      <c r="O174" s="185"/>
      <c r="P174" s="185"/>
      <c r="Q174" s="185"/>
      <c r="R174" s="185"/>
      <c r="S174" s="185"/>
      <c r="T174" s="185"/>
      <c r="U174" s="185"/>
    </row>
    <row r="175" spans="1:21">
      <c r="A175" s="185"/>
      <c r="B175" s="661"/>
      <c r="C175" s="185"/>
      <c r="D175" s="185"/>
      <c r="E175" s="185"/>
      <c r="F175" s="185"/>
      <c r="G175" s="186"/>
      <c r="H175" s="185"/>
      <c r="I175" s="185"/>
      <c r="J175" s="752"/>
      <c r="K175" s="752"/>
      <c r="L175" s="185"/>
      <c r="M175" s="185"/>
      <c r="N175" s="185"/>
      <c r="O175" s="185"/>
      <c r="P175" s="185"/>
      <c r="Q175" s="185"/>
      <c r="R175" s="185"/>
      <c r="S175" s="185"/>
      <c r="T175" s="185"/>
      <c r="U175" s="185"/>
    </row>
    <row r="176" spans="1:21">
      <c r="A176" s="185"/>
      <c r="B176" s="661"/>
      <c r="C176" s="185"/>
      <c r="D176" s="185"/>
      <c r="E176" s="185"/>
      <c r="F176" s="185"/>
      <c r="G176" s="186"/>
      <c r="H176" s="185"/>
      <c r="I176" s="185"/>
      <c r="J176" s="752"/>
      <c r="K176" s="752"/>
      <c r="L176" s="185"/>
      <c r="M176" s="185"/>
      <c r="N176" s="185"/>
      <c r="O176" s="185"/>
      <c r="P176" s="185"/>
      <c r="Q176" s="185"/>
      <c r="R176" s="185"/>
      <c r="S176" s="185"/>
      <c r="T176" s="185"/>
      <c r="U176" s="185"/>
    </row>
    <row r="177" spans="1:21">
      <c r="A177" s="185"/>
      <c r="B177" s="661"/>
      <c r="C177" s="185"/>
      <c r="D177" s="185"/>
      <c r="E177" s="185"/>
      <c r="F177" s="185"/>
      <c r="G177" s="186"/>
      <c r="H177" s="185"/>
      <c r="I177" s="185"/>
      <c r="J177" s="752"/>
      <c r="K177" s="752"/>
      <c r="L177" s="185"/>
      <c r="M177" s="185"/>
      <c r="N177" s="185"/>
      <c r="O177" s="185"/>
      <c r="P177" s="185"/>
      <c r="Q177" s="185"/>
      <c r="R177" s="185"/>
      <c r="S177" s="185"/>
      <c r="T177" s="185"/>
      <c r="U177" s="185"/>
    </row>
    <row r="178" spans="1:21">
      <c r="A178" s="185"/>
      <c r="B178" s="661"/>
      <c r="C178" s="185"/>
      <c r="D178" s="185"/>
      <c r="E178" s="185"/>
      <c r="F178" s="185"/>
      <c r="G178" s="186"/>
      <c r="H178" s="185"/>
      <c r="I178" s="185"/>
      <c r="J178" s="752"/>
      <c r="K178" s="752"/>
      <c r="L178" s="185"/>
      <c r="M178" s="185"/>
      <c r="N178" s="185"/>
      <c r="O178" s="185"/>
      <c r="P178" s="185"/>
      <c r="Q178" s="185"/>
      <c r="R178" s="185"/>
      <c r="S178" s="185"/>
      <c r="T178" s="185"/>
      <c r="U178" s="185"/>
    </row>
    <row r="179" spans="1:21">
      <c r="A179" s="185"/>
      <c r="B179" s="661"/>
      <c r="C179" s="185"/>
      <c r="D179" s="185"/>
      <c r="E179" s="185"/>
      <c r="F179" s="185"/>
      <c r="G179" s="186"/>
      <c r="H179" s="185"/>
      <c r="I179" s="185"/>
      <c r="J179" s="752"/>
      <c r="K179" s="752"/>
      <c r="L179" s="185"/>
      <c r="M179" s="185"/>
      <c r="N179" s="185"/>
      <c r="O179" s="185"/>
      <c r="P179" s="185"/>
      <c r="Q179" s="185"/>
      <c r="R179" s="185"/>
      <c r="S179" s="185"/>
      <c r="T179" s="185"/>
      <c r="U179" s="185"/>
    </row>
    <row r="180" spans="1:21">
      <c r="A180" s="185"/>
      <c r="B180" s="661"/>
      <c r="C180" s="185"/>
      <c r="D180" s="185"/>
      <c r="E180" s="185"/>
      <c r="F180" s="185"/>
      <c r="G180" s="186"/>
      <c r="H180" s="185"/>
      <c r="I180" s="185"/>
      <c r="J180" s="752"/>
      <c r="K180" s="752"/>
      <c r="L180" s="185"/>
      <c r="M180" s="185"/>
      <c r="N180" s="185"/>
      <c r="O180" s="185"/>
      <c r="P180" s="185"/>
      <c r="Q180" s="185"/>
      <c r="R180" s="185"/>
      <c r="S180" s="185"/>
      <c r="T180" s="185"/>
      <c r="U180" s="185"/>
    </row>
    <row r="181" spans="1:21">
      <c r="A181" s="185"/>
      <c r="B181" s="661"/>
      <c r="C181" s="185"/>
      <c r="D181" s="185"/>
      <c r="E181" s="185"/>
      <c r="F181" s="185"/>
      <c r="G181" s="186"/>
      <c r="H181" s="185"/>
      <c r="I181" s="185"/>
      <c r="J181" s="752"/>
      <c r="K181" s="752"/>
      <c r="L181" s="185"/>
      <c r="M181" s="185"/>
      <c r="N181" s="185"/>
      <c r="O181" s="185"/>
      <c r="P181" s="185"/>
      <c r="Q181" s="185"/>
      <c r="R181" s="185"/>
      <c r="S181" s="185"/>
      <c r="T181" s="185"/>
      <c r="U181" s="185"/>
    </row>
    <row r="182" spans="1:21">
      <c r="A182" s="185"/>
      <c r="B182" s="661"/>
      <c r="C182" s="185"/>
      <c r="D182" s="185"/>
      <c r="E182" s="185"/>
      <c r="F182" s="185"/>
      <c r="G182" s="186"/>
      <c r="H182" s="185"/>
      <c r="I182" s="185"/>
      <c r="J182" s="752"/>
      <c r="K182" s="752"/>
      <c r="L182" s="185"/>
      <c r="M182" s="185"/>
      <c r="N182" s="185"/>
      <c r="O182" s="185"/>
      <c r="P182" s="185"/>
      <c r="Q182" s="185"/>
      <c r="R182" s="185"/>
      <c r="S182" s="185"/>
      <c r="T182" s="185"/>
      <c r="U182" s="185"/>
    </row>
    <row r="183" spans="1:21">
      <c r="A183" s="185"/>
      <c r="B183" s="661"/>
      <c r="C183" s="185"/>
      <c r="D183" s="185"/>
      <c r="E183" s="185"/>
      <c r="F183" s="185"/>
      <c r="G183" s="186"/>
      <c r="H183" s="185"/>
      <c r="I183" s="185"/>
      <c r="J183" s="752"/>
      <c r="K183" s="752"/>
      <c r="L183" s="185"/>
      <c r="M183" s="185"/>
      <c r="N183" s="185"/>
      <c r="O183" s="185"/>
      <c r="P183" s="185"/>
      <c r="Q183" s="185"/>
      <c r="R183" s="185"/>
      <c r="S183" s="185"/>
      <c r="T183" s="185"/>
      <c r="U183" s="185"/>
    </row>
    <row r="184" spans="1:21">
      <c r="A184" s="185"/>
      <c r="B184" s="661"/>
      <c r="C184" s="185"/>
      <c r="D184" s="185"/>
      <c r="E184" s="185"/>
      <c r="F184" s="185"/>
      <c r="G184" s="186"/>
      <c r="H184" s="185"/>
      <c r="I184" s="185"/>
      <c r="J184" s="752"/>
      <c r="K184" s="752"/>
      <c r="L184" s="185"/>
      <c r="M184" s="185"/>
      <c r="N184" s="185"/>
      <c r="O184" s="185"/>
      <c r="P184" s="185"/>
      <c r="Q184" s="185"/>
      <c r="R184" s="185"/>
      <c r="S184" s="185"/>
      <c r="T184" s="185"/>
      <c r="U184" s="185"/>
    </row>
    <row r="185" spans="1:21">
      <c r="A185" s="185"/>
      <c r="B185" s="661"/>
      <c r="C185" s="185"/>
      <c r="D185" s="185"/>
      <c r="E185" s="185"/>
      <c r="F185" s="185"/>
      <c r="G185" s="186"/>
      <c r="H185" s="185"/>
      <c r="I185" s="185"/>
      <c r="J185" s="752"/>
      <c r="K185" s="752"/>
      <c r="L185" s="185"/>
      <c r="M185" s="185"/>
      <c r="N185" s="185"/>
      <c r="O185" s="185"/>
      <c r="P185" s="185"/>
      <c r="Q185" s="185"/>
      <c r="R185" s="185"/>
      <c r="S185" s="185"/>
      <c r="T185" s="185"/>
      <c r="U185" s="185"/>
    </row>
    <row r="186" spans="1:21">
      <c r="A186" s="185"/>
      <c r="B186" s="661"/>
      <c r="C186" s="185"/>
      <c r="D186" s="185"/>
      <c r="E186" s="185"/>
      <c r="F186" s="185"/>
      <c r="G186" s="186"/>
      <c r="H186" s="185"/>
      <c r="I186" s="185"/>
      <c r="J186" s="752"/>
      <c r="K186" s="752"/>
      <c r="L186" s="185"/>
      <c r="M186" s="185"/>
      <c r="N186" s="185"/>
      <c r="O186" s="185"/>
      <c r="P186" s="185"/>
      <c r="Q186" s="185"/>
      <c r="R186" s="185"/>
      <c r="S186" s="185"/>
      <c r="T186" s="185"/>
      <c r="U186" s="185"/>
    </row>
    <row r="187" spans="1:21">
      <c r="A187" s="185"/>
      <c r="B187" s="661"/>
      <c r="C187" s="185"/>
      <c r="D187" s="185"/>
      <c r="E187" s="185"/>
      <c r="F187" s="185"/>
      <c r="G187" s="186"/>
      <c r="H187" s="185"/>
      <c r="I187" s="185"/>
      <c r="J187" s="752"/>
      <c r="K187" s="752"/>
      <c r="L187" s="185"/>
      <c r="M187" s="185"/>
      <c r="N187" s="185"/>
      <c r="O187" s="185"/>
      <c r="P187" s="185"/>
      <c r="Q187" s="185"/>
      <c r="R187" s="185"/>
      <c r="S187" s="185"/>
      <c r="T187" s="185"/>
      <c r="U187" s="185"/>
    </row>
    <row r="188" spans="1:21">
      <c r="A188" s="185"/>
      <c r="B188" s="661"/>
      <c r="C188" s="185"/>
      <c r="D188" s="185"/>
      <c r="E188" s="185"/>
      <c r="F188" s="185"/>
      <c r="G188" s="186"/>
      <c r="H188" s="185"/>
      <c r="I188" s="185"/>
      <c r="J188" s="752"/>
      <c r="K188" s="752"/>
      <c r="L188" s="185"/>
      <c r="M188" s="185"/>
      <c r="N188" s="185"/>
      <c r="O188" s="185"/>
      <c r="P188" s="185"/>
      <c r="Q188" s="185"/>
      <c r="R188" s="185"/>
      <c r="S188" s="185"/>
      <c r="T188" s="185"/>
      <c r="U188" s="185"/>
    </row>
    <row r="189" spans="1:21">
      <c r="A189" s="185"/>
      <c r="B189" s="661"/>
      <c r="C189" s="185"/>
      <c r="D189" s="185"/>
      <c r="E189" s="185"/>
      <c r="F189" s="185"/>
      <c r="G189" s="186"/>
      <c r="H189" s="185"/>
      <c r="I189" s="185"/>
      <c r="J189" s="752"/>
      <c r="K189" s="752"/>
      <c r="L189" s="185"/>
      <c r="M189" s="185"/>
      <c r="N189" s="185"/>
      <c r="O189" s="185"/>
      <c r="P189" s="185"/>
      <c r="Q189" s="185"/>
      <c r="R189" s="185"/>
      <c r="S189" s="185"/>
      <c r="T189" s="185"/>
      <c r="U189" s="185"/>
    </row>
    <row r="190" spans="1:21">
      <c r="A190" s="185"/>
      <c r="B190" s="661"/>
      <c r="C190" s="185"/>
      <c r="D190" s="185"/>
      <c r="E190" s="185"/>
      <c r="F190" s="185"/>
      <c r="G190" s="186"/>
      <c r="H190" s="185"/>
      <c r="I190" s="185"/>
      <c r="J190" s="752"/>
      <c r="K190" s="752"/>
      <c r="L190" s="185"/>
      <c r="M190" s="185"/>
      <c r="N190" s="185"/>
      <c r="O190" s="185"/>
      <c r="P190" s="185"/>
      <c r="Q190" s="185"/>
      <c r="R190" s="185"/>
      <c r="S190" s="185"/>
      <c r="T190" s="185"/>
      <c r="U190" s="185"/>
    </row>
    <row r="191" spans="1:21">
      <c r="A191" s="185"/>
      <c r="B191" s="661"/>
      <c r="C191" s="185"/>
      <c r="D191" s="185"/>
      <c r="E191" s="185"/>
      <c r="F191" s="185"/>
      <c r="G191" s="186"/>
      <c r="H191" s="185"/>
      <c r="I191" s="185"/>
      <c r="J191" s="752"/>
      <c r="K191" s="752"/>
      <c r="L191" s="185"/>
      <c r="M191" s="185"/>
      <c r="N191" s="185"/>
      <c r="O191" s="185"/>
      <c r="P191" s="185"/>
      <c r="Q191" s="185"/>
      <c r="R191" s="185"/>
      <c r="S191" s="185"/>
      <c r="T191" s="185"/>
      <c r="U191" s="185"/>
    </row>
    <row r="192" spans="1:21">
      <c r="A192" s="185"/>
      <c r="B192" s="661"/>
      <c r="C192" s="185"/>
      <c r="D192" s="185"/>
      <c r="E192" s="185"/>
      <c r="F192" s="185"/>
      <c r="G192" s="186"/>
      <c r="H192" s="185"/>
      <c r="I192" s="185"/>
      <c r="J192" s="752"/>
      <c r="K192" s="752"/>
      <c r="L192" s="185"/>
      <c r="M192" s="185"/>
      <c r="N192" s="185"/>
      <c r="O192" s="185"/>
      <c r="P192" s="185"/>
      <c r="Q192" s="185"/>
      <c r="R192" s="185"/>
      <c r="S192" s="185"/>
      <c r="T192" s="185"/>
      <c r="U192" s="185"/>
    </row>
    <row r="193" spans="1:21">
      <c r="A193" s="185"/>
      <c r="B193" s="661"/>
      <c r="C193" s="185"/>
      <c r="D193" s="185"/>
      <c r="E193" s="185"/>
      <c r="F193" s="185"/>
      <c r="G193" s="186"/>
      <c r="H193" s="185"/>
      <c r="I193" s="185"/>
      <c r="J193" s="752"/>
      <c r="K193" s="752"/>
      <c r="L193" s="185"/>
      <c r="M193" s="185"/>
      <c r="N193" s="185"/>
      <c r="O193" s="185"/>
      <c r="P193" s="185"/>
      <c r="Q193" s="185"/>
      <c r="R193" s="185"/>
      <c r="S193" s="185"/>
      <c r="T193" s="185"/>
      <c r="U193" s="185"/>
    </row>
    <row r="194" spans="1:21">
      <c r="A194" s="185"/>
      <c r="B194" s="661"/>
      <c r="C194" s="185"/>
      <c r="D194" s="185"/>
      <c r="E194" s="185"/>
      <c r="F194" s="185"/>
      <c r="G194" s="186"/>
      <c r="H194" s="185"/>
      <c r="I194" s="185"/>
      <c r="J194" s="752"/>
      <c r="K194" s="752"/>
      <c r="L194" s="185"/>
      <c r="M194" s="185"/>
      <c r="N194" s="185"/>
      <c r="O194" s="185"/>
      <c r="P194" s="185"/>
      <c r="Q194" s="185"/>
      <c r="R194" s="185"/>
      <c r="S194" s="185"/>
      <c r="T194" s="185"/>
      <c r="U194" s="185"/>
    </row>
    <row r="195" spans="1:21">
      <c r="A195" s="185"/>
      <c r="B195" s="661"/>
      <c r="C195" s="185"/>
      <c r="D195" s="185"/>
      <c r="E195" s="185"/>
      <c r="F195" s="185"/>
      <c r="G195" s="186"/>
      <c r="H195" s="185"/>
      <c r="I195" s="185"/>
      <c r="J195" s="752"/>
      <c r="K195" s="752"/>
      <c r="L195" s="185"/>
      <c r="M195" s="185"/>
      <c r="N195" s="185"/>
      <c r="O195" s="185"/>
      <c r="P195" s="185"/>
      <c r="Q195" s="185"/>
      <c r="R195" s="185"/>
      <c r="S195" s="185"/>
      <c r="T195" s="185"/>
      <c r="U195" s="185"/>
    </row>
    <row r="196" spans="1:21">
      <c r="A196" s="185"/>
      <c r="B196" s="661"/>
      <c r="C196" s="185"/>
      <c r="D196" s="185"/>
      <c r="E196" s="185"/>
      <c r="F196" s="185"/>
      <c r="G196" s="186"/>
      <c r="H196" s="185"/>
      <c r="I196" s="185"/>
      <c r="J196" s="752"/>
      <c r="K196" s="752"/>
      <c r="L196" s="185"/>
      <c r="M196" s="185"/>
      <c r="N196" s="185"/>
      <c r="O196" s="185"/>
      <c r="P196" s="185"/>
      <c r="Q196" s="185"/>
      <c r="R196" s="185"/>
      <c r="S196" s="185"/>
      <c r="T196" s="185"/>
      <c r="U196" s="185"/>
    </row>
    <row r="197" spans="1:21">
      <c r="A197" s="185"/>
      <c r="B197" s="661"/>
      <c r="C197" s="185"/>
      <c r="D197" s="185"/>
      <c r="E197" s="185"/>
      <c r="F197" s="185"/>
      <c r="G197" s="186"/>
      <c r="H197" s="185"/>
      <c r="I197" s="185"/>
      <c r="J197" s="752"/>
      <c r="K197" s="752"/>
      <c r="L197" s="185"/>
      <c r="M197" s="185"/>
      <c r="N197" s="185"/>
      <c r="O197" s="185"/>
      <c r="P197" s="185"/>
      <c r="Q197" s="185"/>
      <c r="R197" s="185"/>
      <c r="S197" s="185"/>
      <c r="T197" s="185"/>
      <c r="U197" s="185"/>
    </row>
    <row r="198" spans="1:21">
      <c r="A198" s="185"/>
      <c r="B198" s="661"/>
      <c r="C198" s="185"/>
      <c r="D198" s="185"/>
      <c r="E198" s="185"/>
      <c r="F198" s="185"/>
      <c r="G198" s="186"/>
      <c r="H198" s="185"/>
      <c r="I198" s="185"/>
      <c r="J198" s="752"/>
      <c r="K198" s="752"/>
      <c r="L198" s="185"/>
      <c r="M198" s="185"/>
      <c r="N198" s="185"/>
      <c r="O198" s="185"/>
      <c r="P198" s="185"/>
      <c r="Q198" s="185"/>
      <c r="R198" s="185"/>
      <c r="S198" s="185"/>
      <c r="T198" s="185"/>
      <c r="U198" s="185"/>
    </row>
    <row r="199" spans="1:21">
      <c r="A199" s="185"/>
      <c r="B199" s="661"/>
      <c r="C199" s="185"/>
      <c r="D199" s="185"/>
      <c r="E199" s="185"/>
      <c r="F199" s="185"/>
      <c r="G199" s="186"/>
      <c r="H199" s="185"/>
      <c r="I199" s="185"/>
      <c r="J199" s="752"/>
      <c r="K199" s="752"/>
      <c r="L199" s="185"/>
      <c r="M199" s="185"/>
      <c r="N199" s="185"/>
      <c r="O199" s="185"/>
      <c r="P199" s="185"/>
      <c r="Q199" s="185"/>
      <c r="R199" s="185"/>
      <c r="S199" s="185"/>
      <c r="T199" s="185"/>
      <c r="U199" s="185"/>
    </row>
    <row r="200" spans="1:21">
      <c r="A200" s="185"/>
      <c r="B200" s="661"/>
      <c r="C200" s="185"/>
      <c r="D200" s="185"/>
      <c r="E200" s="185"/>
      <c r="F200" s="185"/>
      <c r="G200" s="186"/>
      <c r="H200" s="185"/>
      <c r="I200" s="185"/>
      <c r="J200" s="752"/>
      <c r="K200" s="752"/>
      <c r="L200" s="185"/>
      <c r="M200" s="185"/>
      <c r="N200" s="185"/>
      <c r="O200" s="185"/>
      <c r="P200" s="185"/>
      <c r="Q200" s="185"/>
      <c r="R200" s="185"/>
      <c r="S200" s="185"/>
      <c r="T200" s="185"/>
      <c r="U200" s="185"/>
    </row>
    <row r="201" spans="1:21">
      <c r="A201" s="185"/>
      <c r="B201" s="661"/>
      <c r="C201" s="185"/>
      <c r="D201" s="185"/>
      <c r="E201" s="185"/>
      <c r="F201" s="185"/>
      <c r="G201" s="186"/>
      <c r="H201" s="185"/>
      <c r="I201" s="185"/>
      <c r="J201" s="752"/>
      <c r="K201" s="752"/>
      <c r="L201" s="185"/>
      <c r="M201" s="185"/>
      <c r="N201" s="185"/>
      <c r="O201" s="185"/>
      <c r="P201" s="185"/>
      <c r="Q201" s="185"/>
      <c r="R201" s="185"/>
      <c r="S201" s="185"/>
      <c r="T201" s="185"/>
      <c r="U201" s="185"/>
    </row>
    <row r="202" spans="1:21">
      <c r="A202" s="185"/>
      <c r="B202" s="661"/>
      <c r="C202" s="185"/>
      <c r="D202" s="185"/>
      <c r="E202" s="185"/>
      <c r="F202" s="185"/>
      <c r="G202" s="186"/>
      <c r="H202" s="185"/>
      <c r="I202" s="185"/>
      <c r="J202" s="752"/>
      <c r="K202" s="752"/>
      <c r="L202" s="185"/>
      <c r="M202" s="185"/>
      <c r="N202" s="185"/>
      <c r="O202" s="185"/>
      <c r="P202" s="185"/>
      <c r="Q202" s="185"/>
      <c r="R202" s="185"/>
      <c r="S202" s="185"/>
      <c r="T202" s="185"/>
      <c r="U202" s="185"/>
    </row>
    <row r="203" spans="1:21">
      <c r="A203" s="185"/>
      <c r="B203" s="661"/>
      <c r="C203" s="185"/>
      <c r="D203" s="185"/>
      <c r="E203" s="185"/>
      <c r="F203" s="185"/>
      <c r="G203" s="186"/>
      <c r="H203" s="185"/>
      <c r="I203" s="185"/>
      <c r="J203" s="752"/>
      <c r="K203" s="752"/>
      <c r="L203" s="185"/>
      <c r="M203" s="185"/>
      <c r="N203" s="185"/>
      <c r="O203" s="185"/>
      <c r="P203" s="185"/>
      <c r="Q203" s="185"/>
      <c r="R203" s="185"/>
      <c r="S203" s="185"/>
      <c r="T203" s="185"/>
      <c r="U203" s="185"/>
    </row>
    <row r="204" spans="1:21">
      <c r="A204" s="185"/>
      <c r="B204" s="661"/>
      <c r="C204" s="185"/>
      <c r="D204" s="185"/>
      <c r="E204" s="185"/>
      <c r="F204" s="185"/>
      <c r="G204" s="186"/>
      <c r="H204" s="185"/>
      <c r="I204" s="185"/>
      <c r="J204" s="752"/>
      <c r="K204" s="752"/>
      <c r="L204" s="185"/>
      <c r="M204" s="185"/>
      <c r="N204" s="185"/>
      <c r="O204" s="185"/>
      <c r="P204" s="185"/>
      <c r="Q204" s="185"/>
      <c r="R204" s="185"/>
      <c r="S204" s="185"/>
      <c r="T204" s="185"/>
      <c r="U204" s="185"/>
    </row>
    <row r="205" spans="1:21">
      <c r="A205" s="185"/>
      <c r="B205" s="661"/>
      <c r="C205" s="185"/>
      <c r="D205" s="185"/>
      <c r="E205" s="185"/>
      <c r="F205" s="185"/>
      <c r="G205" s="186"/>
      <c r="H205" s="185"/>
      <c r="I205" s="185"/>
      <c r="J205" s="752"/>
      <c r="K205" s="752"/>
      <c r="L205" s="185"/>
      <c r="M205" s="185"/>
      <c r="N205" s="185"/>
      <c r="O205" s="185"/>
      <c r="P205" s="185"/>
      <c r="Q205" s="185"/>
      <c r="R205" s="185"/>
      <c r="S205" s="185"/>
      <c r="T205" s="185"/>
      <c r="U205" s="185"/>
    </row>
    <row r="206" spans="1:21">
      <c r="A206" s="185"/>
      <c r="B206" s="661"/>
      <c r="C206" s="185"/>
      <c r="D206" s="185"/>
      <c r="E206" s="185"/>
      <c r="F206" s="185"/>
      <c r="G206" s="186"/>
      <c r="H206" s="185"/>
      <c r="I206" s="185"/>
      <c r="J206" s="752"/>
      <c r="K206" s="752"/>
      <c r="L206" s="185"/>
      <c r="M206" s="185"/>
      <c r="N206" s="185"/>
      <c r="O206" s="185"/>
      <c r="P206" s="185"/>
      <c r="Q206" s="185"/>
      <c r="R206" s="185"/>
      <c r="S206" s="185"/>
      <c r="T206" s="185"/>
      <c r="U206" s="185"/>
    </row>
    <row r="207" spans="1:21">
      <c r="A207" s="185"/>
      <c r="B207" s="661"/>
      <c r="C207" s="185"/>
      <c r="D207" s="185"/>
      <c r="E207" s="185"/>
      <c r="F207" s="185"/>
      <c r="G207" s="186"/>
      <c r="H207" s="185"/>
      <c r="I207" s="185"/>
      <c r="J207" s="752"/>
      <c r="K207" s="752"/>
      <c r="L207" s="185"/>
      <c r="M207" s="185"/>
      <c r="N207" s="185"/>
      <c r="O207" s="185"/>
      <c r="P207" s="185"/>
      <c r="Q207" s="185"/>
      <c r="R207" s="185"/>
      <c r="S207" s="185"/>
      <c r="T207" s="185"/>
      <c r="U207" s="185"/>
    </row>
    <row r="208" spans="1:21">
      <c r="A208" s="185"/>
      <c r="B208" s="661"/>
      <c r="C208" s="185"/>
      <c r="D208" s="185"/>
      <c r="E208" s="185"/>
      <c r="F208" s="185"/>
      <c r="G208" s="186"/>
      <c r="H208" s="185"/>
      <c r="I208" s="185"/>
      <c r="J208" s="752"/>
      <c r="K208" s="752"/>
      <c r="L208" s="185"/>
      <c r="M208" s="185"/>
      <c r="N208" s="185"/>
      <c r="O208" s="185"/>
      <c r="P208" s="185"/>
      <c r="Q208" s="185"/>
      <c r="R208" s="185"/>
      <c r="S208" s="185"/>
      <c r="T208" s="185"/>
      <c r="U208" s="185"/>
    </row>
    <row r="209" spans="1:21">
      <c r="A209" s="185"/>
      <c r="B209" s="661"/>
      <c r="C209" s="185"/>
      <c r="D209" s="185"/>
      <c r="E209" s="185"/>
      <c r="F209" s="185"/>
      <c r="G209" s="186"/>
      <c r="H209" s="185"/>
      <c r="I209" s="185"/>
      <c r="J209" s="752"/>
      <c r="K209" s="752"/>
      <c r="L209" s="185"/>
      <c r="M209" s="185"/>
      <c r="N209" s="185"/>
      <c r="O209" s="185"/>
      <c r="P209" s="185"/>
      <c r="Q209" s="185"/>
      <c r="R209" s="185"/>
      <c r="S209" s="185"/>
      <c r="T209" s="185"/>
      <c r="U209" s="185"/>
    </row>
    <row r="210" spans="1:21">
      <c r="A210" s="185"/>
      <c r="B210" s="661"/>
      <c r="C210" s="185"/>
      <c r="D210" s="185"/>
      <c r="E210" s="185"/>
      <c r="F210" s="185"/>
      <c r="G210" s="186"/>
      <c r="H210" s="185"/>
      <c r="I210" s="185"/>
      <c r="J210" s="752"/>
      <c r="K210" s="752"/>
      <c r="L210" s="185"/>
      <c r="M210" s="185"/>
      <c r="N210" s="185"/>
      <c r="O210" s="185"/>
      <c r="P210" s="185"/>
      <c r="Q210" s="185"/>
      <c r="R210" s="185"/>
      <c r="S210" s="185"/>
      <c r="T210" s="185"/>
      <c r="U210" s="185"/>
    </row>
    <row r="211" spans="1:21">
      <c r="A211" s="185"/>
      <c r="B211" s="661"/>
      <c r="C211" s="185"/>
      <c r="D211" s="185"/>
      <c r="E211" s="185"/>
      <c r="F211" s="185"/>
      <c r="G211" s="186"/>
      <c r="H211" s="185"/>
      <c r="I211" s="185"/>
      <c r="J211" s="752"/>
      <c r="K211" s="752"/>
      <c r="L211" s="185"/>
      <c r="M211" s="185"/>
      <c r="N211" s="185"/>
      <c r="O211" s="185"/>
      <c r="P211" s="185"/>
      <c r="Q211" s="185"/>
      <c r="R211" s="185"/>
      <c r="S211" s="185"/>
      <c r="T211" s="185"/>
      <c r="U211" s="185"/>
    </row>
    <row r="212" spans="1:21">
      <c r="A212" s="185"/>
      <c r="B212" s="661"/>
      <c r="C212" s="185"/>
      <c r="D212" s="185"/>
      <c r="E212" s="185"/>
      <c r="F212" s="185"/>
      <c r="G212" s="186"/>
      <c r="H212" s="185"/>
      <c r="I212" s="185"/>
      <c r="J212" s="752"/>
      <c r="K212" s="752"/>
      <c r="L212" s="185"/>
      <c r="M212" s="185"/>
      <c r="N212" s="185"/>
      <c r="O212" s="185"/>
      <c r="P212" s="185"/>
      <c r="Q212" s="185"/>
      <c r="R212" s="185"/>
      <c r="S212" s="185"/>
      <c r="T212" s="185"/>
      <c r="U212" s="185"/>
    </row>
    <row r="213" spans="1:21">
      <c r="A213" s="185"/>
      <c r="B213" s="661"/>
      <c r="C213" s="185"/>
      <c r="D213" s="185"/>
      <c r="E213" s="185"/>
      <c r="F213" s="185"/>
      <c r="G213" s="186"/>
      <c r="H213" s="185"/>
      <c r="I213" s="185"/>
      <c r="J213" s="752"/>
      <c r="K213" s="752"/>
      <c r="L213" s="185"/>
      <c r="M213" s="185"/>
      <c r="N213" s="185"/>
      <c r="O213" s="185"/>
      <c r="P213" s="185"/>
      <c r="Q213" s="185"/>
      <c r="R213" s="185"/>
      <c r="S213" s="185"/>
      <c r="T213" s="185"/>
      <c r="U213" s="185"/>
    </row>
    <row r="214" spans="1:21">
      <c r="A214" s="185"/>
      <c r="B214" s="661"/>
      <c r="C214" s="185"/>
      <c r="D214" s="185"/>
      <c r="E214" s="185"/>
      <c r="F214" s="185"/>
      <c r="G214" s="186"/>
      <c r="H214" s="185"/>
      <c r="I214" s="185"/>
      <c r="J214" s="752"/>
      <c r="K214" s="752"/>
      <c r="L214" s="185"/>
      <c r="M214" s="185"/>
      <c r="N214" s="185"/>
      <c r="O214" s="185"/>
      <c r="P214" s="185"/>
      <c r="Q214" s="185"/>
      <c r="R214" s="185"/>
      <c r="S214" s="185"/>
      <c r="T214" s="185"/>
      <c r="U214" s="185"/>
    </row>
    <row r="215" spans="1:21">
      <c r="A215" s="185"/>
      <c r="B215" s="661"/>
      <c r="C215" s="185"/>
      <c r="D215" s="185"/>
      <c r="E215" s="185"/>
      <c r="F215" s="185"/>
      <c r="G215" s="186"/>
      <c r="H215" s="185"/>
      <c r="I215" s="185"/>
      <c r="J215" s="752"/>
      <c r="K215" s="752"/>
      <c r="L215" s="185"/>
      <c r="M215" s="185"/>
      <c r="N215" s="185"/>
      <c r="O215" s="185"/>
      <c r="P215" s="185"/>
      <c r="Q215" s="185"/>
      <c r="R215" s="185"/>
      <c r="S215" s="185"/>
      <c r="T215" s="185"/>
      <c r="U215" s="185"/>
    </row>
    <row r="216" spans="1:21">
      <c r="A216" s="185"/>
      <c r="B216" s="661"/>
      <c r="C216" s="185"/>
      <c r="D216" s="185"/>
      <c r="E216" s="185"/>
      <c r="F216" s="185"/>
      <c r="G216" s="186"/>
      <c r="H216" s="185"/>
      <c r="I216" s="185"/>
      <c r="J216" s="752"/>
      <c r="K216" s="752"/>
      <c r="L216" s="185"/>
      <c r="M216" s="185"/>
      <c r="N216" s="185"/>
      <c r="O216" s="185"/>
      <c r="P216" s="185"/>
      <c r="Q216" s="185"/>
      <c r="R216" s="185"/>
      <c r="S216" s="185"/>
      <c r="T216" s="185"/>
      <c r="U216" s="185"/>
    </row>
    <row r="217" spans="1:21">
      <c r="A217" s="185"/>
      <c r="B217" s="661"/>
      <c r="C217" s="185"/>
      <c r="D217" s="185"/>
      <c r="E217" s="185"/>
      <c r="F217" s="185"/>
      <c r="G217" s="186"/>
      <c r="H217" s="185"/>
      <c r="I217" s="185"/>
      <c r="J217" s="752"/>
      <c r="K217" s="752"/>
      <c r="L217" s="185"/>
      <c r="M217" s="185"/>
      <c r="N217" s="185"/>
      <c r="O217" s="185"/>
      <c r="P217" s="185"/>
      <c r="Q217" s="185"/>
      <c r="R217" s="185"/>
      <c r="S217" s="185"/>
      <c r="T217" s="185"/>
      <c r="U217" s="185"/>
    </row>
    <row r="218" spans="1:21">
      <c r="A218" s="185"/>
      <c r="B218" s="661"/>
      <c r="C218" s="185"/>
      <c r="D218" s="185"/>
      <c r="E218" s="185"/>
      <c r="F218" s="185"/>
      <c r="G218" s="186"/>
      <c r="H218" s="185"/>
      <c r="I218" s="185"/>
      <c r="J218" s="752"/>
      <c r="K218" s="752"/>
      <c r="L218" s="185"/>
      <c r="M218" s="185"/>
      <c r="N218" s="185"/>
      <c r="O218" s="185"/>
      <c r="P218" s="185"/>
      <c r="Q218" s="185"/>
      <c r="R218" s="185"/>
      <c r="S218" s="185"/>
      <c r="T218" s="185"/>
      <c r="U218" s="185"/>
    </row>
    <row r="219" spans="1:21">
      <c r="A219" s="185"/>
      <c r="B219" s="661"/>
      <c r="C219" s="185"/>
      <c r="D219" s="185"/>
      <c r="E219" s="185"/>
      <c r="F219" s="185"/>
      <c r="G219" s="186"/>
      <c r="H219" s="185"/>
      <c r="I219" s="185"/>
      <c r="J219" s="752"/>
      <c r="K219" s="752"/>
      <c r="L219" s="185"/>
      <c r="M219" s="185"/>
      <c r="N219" s="185"/>
      <c r="O219" s="185"/>
      <c r="P219" s="185"/>
      <c r="Q219" s="185"/>
      <c r="R219" s="185"/>
      <c r="S219" s="185"/>
      <c r="T219" s="185"/>
      <c r="U219" s="185"/>
    </row>
    <row r="220" spans="1:21">
      <c r="A220" s="185"/>
      <c r="B220" s="661"/>
      <c r="C220" s="185"/>
      <c r="D220" s="185"/>
      <c r="E220" s="185"/>
      <c r="F220" s="185"/>
      <c r="G220" s="186"/>
      <c r="H220" s="185"/>
      <c r="I220" s="185"/>
      <c r="J220" s="752"/>
      <c r="K220" s="752"/>
      <c r="L220" s="185"/>
      <c r="M220" s="185"/>
      <c r="N220" s="185"/>
      <c r="O220" s="185"/>
      <c r="P220" s="185"/>
      <c r="Q220" s="185"/>
      <c r="R220" s="185"/>
      <c r="S220" s="185"/>
      <c r="T220" s="185"/>
      <c r="U220" s="185"/>
    </row>
    <row r="221" spans="1:21">
      <c r="A221" s="185"/>
      <c r="B221" s="661"/>
      <c r="C221" s="185"/>
      <c r="D221" s="185"/>
      <c r="E221" s="185"/>
      <c r="F221" s="185"/>
      <c r="G221" s="186"/>
      <c r="H221" s="185"/>
      <c r="I221" s="185"/>
      <c r="J221" s="752"/>
      <c r="K221" s="752"/>
      <c r="L221" s="185"/>
      <c r="M221" s="185"/>
      <c r="N221" s="185"/>
      <c r="O221" s="185"/>
      <c r="P221" s="185"/>
      <c r="Q221" s="185"/>
      <c r="R221" s="185"/>
      <c r="S221" s="185"/>
      <c r="T221" s="185"/>
      <c r="U221" s="185"/>
    </row>
    <row r="222" spans="1:21">
      <c r="A222" s="185"/>
      <c r="B222" s="661"/>
      <c r="C222" s="185"/>
      <c r="D222" s="185"/>
      <c r="E222" s="185"/>
      <c r="F222" s="185"/>
      <c r="G222" s="186"/>
      <c r="H222" s="185"/>
      <c r="I222" s="185"/>
      <c r="J222" s="752"/>
      <c r="K222" s="752"/>
      <c r="L222" s="185"/>
      <c r="M222" s="185"/>
      <c r="N222" s="185"/>
      <c r="O222" s="185"/>
      <c r="P222" s="185"/>
      <c r="Q222" s="185"/>
      <c r="R222" s="185"/>
      <c r="S222" s="185"/>
      <c r="T222" s="185"/>
      <c r="U222" s="185"/>
    </row>
    <row r="223" spans="1:21">
      <c r="A223" s="185"/>
      <c r="B223" s="661"/>
      <c r="C223" s="185"/>
      <c r="D223" s="185"/>
      <c r="E223" s="185"/>
      <c r="F223" s="185"/>
      <c r="G223" s="186"/>
      <c r="H223" s="185"/>
      <c r="I223" s="185"/>
      <c r="J223" s="752"/>
      <c r="K223" s="752"/>
      <c r="L223" s="185"/>
      <c r="M223" s="185"/>
      <c r="N223" s="185"/>
      <c r="O223" s="185"/>
      <c r="P223" s="185"/>
      <c r="Q223" s="185"/>
      <c r="R223" s="185"/>
      <c r="S223" s="185"/>
      <c r="T223" s="185"/>
      <c r="U223" s="185"/>
    </row>
    <row r="224" spans="1:21">
      <c r="A224" s="185"/>
      <c r="B224" s="661"/>
      <c r="C224" s="185"/>
      <c r="D224" s="185"/>
      <c r="E224" s="185"/>
      <c r="F224" s="185"/>
      <c r="G224" s="186"/>
      <c r="H224" s="185"/>
      <c r="I224" s="185"/>
      <c r="J224" s="752"/>
      <c r="K224" s="752"/>
      <c r="L224" s="185"/>
      <c r="M224" s="185"/>
      <c r="N224" s="185"/>
      <c r="O224" s="185"/>
      <c r="P224" s="185"/>
      <c r="Q224" s="185"/>
      <c r="R224" s="185"/>
      <c r="S224" s="185"/>
      <c r="T224" s="185"/>
      <c r="U224" s="185"/>
    </row>
    <row r="225" spans="1:21">
      <c r="A225" s="185"/>
      <c r="B225" s="661"/>
      <c r="C225" s="185"/>
      <c r="D225" s="185"/>
      <c r="E225" s="185"/>
      <c r="F225" s="185"/>
      <c r="G225" s="186"/>
      <c r="H225" s="185"/>
      <c r="I225" s="185"/>
      <c r="J225" s="752"/>
      <c r="K225" s="752"/>
      <c r="L225" s="185"/>
      <c r="M225" s="185"/>
      <c r="N225" s="185"/>
      <c r="O225" s="185"/>
      <c r="P225" s="185"/>
      <c r="Q225" s="185"/>
      <c r="R225" s="185"/>
      <c r="S225" s="185"/>
      <c r="T225" s="185"/>
      <c r="U225" s="185"/>
    </row>
    <row r="226" spans="1:21">
      <c r="A226" s="185"/>
      <c r="B226" s="661"/>
      <c r="C226" s="185"/>
      <c r="D226" s="185"/>
      <c r="E226" s="185"/>
      <c r="F226" s="185"/>
      <c r="G226" s="186"/>
      <c r="H226" s="185"/>
      <c r="I226" s="185"/>
      <c r="J226" s="752"/>
      <c r="K226" s="752"/>
      <c r="L226" s="185"/>
      <c r="M226" s="185"/>
      <c r="N226" s="185"/>
      <c r="O226" s="185"/>
      <c r="P226" s="185"/>
      <c r="Q226" s="185"/>
      <c r="R226" s="185"/>
      <c r="S226" s="185"/>
      <c r="T226" s="185"/>
      <c r="U226" s="185"/>
    </row>
    <row r="227" spans="1:21">
      <c r="A227" s="185"/>
      <c r="B227" s="661"/>
      <c r="C227" s="185"/>
      <c r="D227" s="185"/>
      <c r="E227" s="185"/>
      <c r="F227" s="185"/>
      <c r="G227" s="186"/>
      <c r="H227" s="185"/>
      <c r="I227" s="185"/>
      <c r="J227" s="752"/>
      <c r="K227" s="752"/>
      <c r="L227" s="185"/>
      <c r="M227" s="185"/>
      <c r="N227" s="185"/>
      <c r="O227" s="185"/>
      <c r="P227" s="185"/>
      <c r="Q227" s="185"/>
      <c r="R227" s="185"/>
      <c r="S227" s="185"/>
      <c r="T227" s="185"/>
      <c r="U227" s="185"/>
    </row>
    <row r="228" spans="1:21">
      <c r="A228" s="185"/>
      <c r="B228" s="661"/>
      <c r="C228" s="185"/>
      <c r="D228" s="185"/>
      <c r="E228" s="185"/>
      <c r="F228" s="185"/>
      <c r="G228" s="186"/>
      <c r="H228" s="185"/>
      <c r="I228" s="185"/>
      <c r="J228" s="752"/>
      <c r="K228" s="752"/>
      <c r="L228" s="185"/>
      <c r="M228" s="185"/>
      <c r="N228" s="185"/>
      <c r="O228" s="185"/>
      <c r="P228" s="185"/>
      <c r="Q228" s="185"/>
      <c r="R228" s="185"/>
      <c r="S228" s="185"/>
      <c r="T228" s="185"/>
      <c r="U228" s="185"/>
    </row>
    <row r="229" spans="1:21">
      <c r="A229" s="185"/>
      <c r="B229" s="661"/>
      <c r="C229" s="185"/>
      <c r="D229" s="185"/>
      <c r="E229" s="185"/>
      <c r="F229" s="185"/>
      <c r="G229" s="186"/>
      <c r="H229" s="185"/>
      <c r="I229" s="185"/>
      <c r="J229" s="752"/>
      <c r="K229" s="752"/>
      <c r="L229" s="185"/>
      <c r="M229" s="185"/>
      <c r="N229" s="185"/>
      <c r="O229" s="185"/>
      <c r="P229" s="185"/>
      <c r="Q229" s="185"/>
      <c r="R229" s="185"/>
      <c r="S229" s="185"/>
      <c r="T229" s="185"/>
      <c r="U229" s="185"/>
    </row>
    <row r="230" spans="1:21">
      <c r="A230" s="185"/>
      <c r="B230" s="661"/>
      <c r="C230" s="185"/>
      <c r="D230" s="185"/>
      <c r="E230" s="185"/>
      <c r="F230" s="185"/>
      <c r="G230" s="186"/>
      <c r="H230" s="185"/>
      <c r="I230" s="185"/>
      <c r="J230" s="752"/>
      <c r="K230" s="752"/>
      <c r="L230" s="185"/>
      <c r="M230" s="185"/>
      <c r="N230" s="185"/>
      <c r="O230" s="185"/>
      <c r="P230" s="185"/>
      <c r="Q230" s="185"/>
      <c r="R230" s="185"/>
      <c r="S230" s="185"/>
      <c r="T230" s="185"/>
      <c r="U230" s="185"/>
    </row>
    <row r="231" spans="1:21">
      <c r="A231" s="185"/>
      <c r="B231" s="661"/>
      <c r="C231" s="185"/>
      <c r="D231" s="185"/>
      <c r="E231" s="185"/>
      <c r="F231" s="185"/>
      <c r="G231" s="186"/>
      <c r="H231" s="185"/>
      <c r="I231" s="185"/>
      <c r="J231" s="752"/>
      <c r="K231" s="752"/>
      <c r="L231" s="185"/>
      <c r="M231" s="185"/>
      <c r="N231" s="185"/>
      <c r="O231" s="185"/>
      <c r="P231" s="185"/>
      <c r="Q231" s="185"/>
      <c r="R231" s="185"/>
      <c r="S231" s="185"/>
      <c r="T231" s="185"/>
      <c r="U231" s="185"/>
    </row>
    <row r="232" spans="1:21">
      <c r="A232" s="185"/>
      <c r="B232" s="661"/>
      <c r="C232" s="185"/>
      <c r="D232" s="185"/>
      <c r="E232" s="185"/>
      <c r="F232" s="185"/>
      <c r="G232" s="186"/>
      <c r="H232" s="185"/>
      <c r="I232" s="185"/>
      <c r="J232" s="752"/>
      <c r="K232" s="752"/>
      <c r="L232" s="185"/>
      <c r="M232" s="185"/>
      <c r="N232" s="185"/>
      <c r="O232" s="185"/>
      <c r="P232" s="185"/>
      <c r="Q232" s="185"/>
      <c r="R232" s="185"/>
      <c r="S232" s="185"/>
      <c r="T232" s="185"/>
      <c r="U232" s="185"/>
    </row>
    <row r="233" spans="1:21">
      <c r="A233" s="185"/>
      <c r="B233" s="661"/>
      <c r="C233" s="185"/>
      <c r="D233" s="185"/>
      <c r="E233" s="185"/>
      <c r="F233" s="185"/>
      <c r="G233" s="186"/>
      <c r="H233" s="185"/>
      <c r="I233" s="185"/>
      <c r="J233" s="752"/>
      <c r="K233" s="752"/>
      <c r="L233" s="185"/>
      <c r="M233" s="185"/>
      <c r="N233" s="185"/>
      <c r="O233" s="185"/>
      <c r="P233" s="185"/>
      <c r="Q233" s="185"/>
      <c r="R233" s="185"/>
      <c r="S233" s="185"/>
      <c r="T233" s="185"/>
      <c r="U233" s="185"/>
    </row>
    <row r="234" spans="1:21">
      <c r="A234" s="185"/>
      <c r="B234" s="661"/>
      <c r="C234" s="185"/>
      <c r="D234" s="185"/>
      <c r="E234" s="185"/>
      <c r="F234" s="185"/>
      <c r="G234" s="186"/>
      <c r="H234" s="185"/>
      <c r="I234" s="185"/>
      <c r="J234" s="752"/>
      <c r="K234" s="752"/>
      <c r="L234" s="185"/>
      <c r="M234" s="185"/>
      <c r="N234" s="185"/>
      <c r="O234" s="185"/>
      <c r="P234" s="185"/>
      <c r="Q234" s="185"/>
      <c r="R234" s="185"/>
      <c r="S234" s="185"/>
      <c r="T234" s="185"/>
      <c r="U234" s="185"/>
    </row>
    <row r="235" spans="1:21">
      <c r="A235" s="185"/>
      <c r="B235" s="661"/>
      <c r="C235" s="185"/>
      <c r="D235" s="185"/>
      <c r="E235" s="185"/>
      <c r="F235" s="185"/>
      <c r="G235" s="186"/>
      <c r="H235" s="185"/>
      <c r="I235" s="185"/>
      <c r="J235" s="752"/>
      <c r="K235" s="752"/>
      <c r="L235" s="185"/>
      <c r="M235" s="185"/>
      <c r="N235" s="185"/>
      <c r="O235" s="185"/>
      <c r="P235" s="185"/>
      <c r="Q235" s="185"/>
      <c r="R235" s="185"/>
      <c r="S235" s="185"/>
      <c r="T235" s="185"/>
      <c r="U235" s="185"/>
    </row>
    <row r="236" spans="1:21">
      <c r="A236" s="185"/>
      <c r="B236" s="661"/>
      <c r="C236" s="185"/>
      <c r="D236" s="185"/>
      <c r="E236" s="185"/>
      <c r="F236" s="185"/>
      <c r="G236" s="186"/>
      <c r="H236" s="185"/>
      <c r="I236" s="185"/>
      <c r="J236" s="752"/>
      <c r="K236" s="752"/>
      <c r="L236" s="185"/>
      <c r="M236" s="185"/>
      <c r="N236" s="185"/>
      <c r="O236" s="185"/>
      <c r="P236" s="185"/>
      <c r="Q236" s="185"/>
      <c r="R236" s="185"/>
      <c r="S236" s="185"/>
      <c r="T236" s="185"/>
      <c r="U236" s="185"/>
    </row>
    <row r="237" spans="1:21">
      <c r="A237" s="185"/>
      <c r="B237" s="661"/>
      <c r="C237" s="185"/>
      <c r="D237" s="185"/>
      <c r="E237" s="185"/>
      <c r="F237" s="185"/>
      <c r="G237" s="186"/>
      <c r="H237" s="185"/>
      <c r="I237" s="185"/>
      <c r="J237" s="752"/>
      <c r="K237" s="752"/>
      <c r="L237" s="185"/>
      <c r="M237" s="185"/>
      <c r="N237" s="185"/>
      <c r="O237" s="185"/>
      <c r="P237" s="185"/>
      <c r="Q237" s="185"/>
      <c r="R237" s="185"/>
      <c r="S237" s="185"/>
      <c r="T237" s="185"/>
      <c r="U237" s="185"/>
    </row>
    <row r="238" spans="1:21">
      <c r="A238" s="185"/>
      <c r="B238" s="661"/>
      <c r="C238" s="185"/>
      <c r="D238" s="185"/>
      <c r="E238" s="185"/>
      <c r="F238" s="185"/>
      <c r="G238" s="186"/>
      <c r="H238" s="185"/>
      <c r="I238" s="185"/>
      <c r="J238" s="752"/>
      <c r="K238" s="752"/>
      <c r="L238" s="185"/>
      <c r="M238" s="185"/>
      <c r="N238" s="185"/>
      <c r="O238" s="185"/>
      <c r="P238" s="185"/>
      <c r="Q238" s="185"/>
      <c r="R238" s="185"/>
      <c r="S238" s="185"/>
      <c r="T238" s="185"/>
      <c r="U238" s="185"/>
    </row>
    <row r="239" spans="1:21">
      <c r="A239" s="185"/>
      <c r="B239" s="661"/>
      <c r="C239" s="185"/>
      <c r="D239" s="185"/>
      <c r="E239" s="185"/>
      <c r="F239" s="185"/>
      <c r="G239" s="186"/>
      <c r="H239" s="185"/>
      <c r="I239" s="185"/>
      <c r="J239" s="752"/>
      <c r="K239" s="752"/>
      <c r="L239" s="185"/>
      <c r="M239" s="185"/>
      <c r="N239" s="185"/>
      <c r="O239" s="185"/>
      <c r="P239" s="185"/>
      <c r="Q239" s="185"/>
      <c r="R239" s="185"/>
      <c r="S239" s="185"/>
      <c r="T239" s="185"/>
      <c r="U239" s="185"/>
    </row>
    <row r="240" spans="1:21">
      <c r="A240" s="185"/>
      <c r="B240" s="661"/>
      <c r="C240" s="185"/>
      <c r="D240" s="185"/>
      <c r="E240" s="185"/>
      <c r="F240" s="185"/>
      <c r="G240" s="186"/>
      <c r="H240" s="185"/>
      <c r="I240" s="185"/>
      <c r="J240" s="752"/>
      <c r="K240" s="752"/>
      <c r="L240" s="185"/>
      <c r="M240" s="185"/>
      <c r="N240" s="185"/>
      <c r="O240" s="185"/>
      <c r="P240" s="185"/>
      <c r="Q240" s="185"/>
      <c r="R240" s="185"/>
      <c r="S240" s="185"/>
      <c r="T240" s="185"/>
      <c r="U240" s="185"/>
    </row>
    <row r="241" spans="1:21">
      <c r="A241" s="185"/>
      <c r="B241" s="661"/>
      <c r="C241" s="185"/>
      <c r="D241" s="185"/>
      <c r="E241" s="185"/>
      <c r="F241" s="185"/>
      <c r="G241" s="186"/>
      <c r="H241" s="185"/>
      <c r="I241" s="185"/>
      <c r="J241" s="752"/>
      <c r="K241" s="752"/>
      <c r="L241" s="185"/>
      <c r="M241" s="185"/>
      <c r="N241" s="185"/>
      <c r="O241" s="185"/>
      <c r="P241" s="185"/>
      <c r="Q241" s="185"/>
      <c r="R241" s="185"/>
      <c r="S241" s="185"/>
      <c r="T241" s="185"/>
      <c r="U241" s="185"/>
    </row>
    <row r="242" spans="1:21">
      <c r="A242" s="185"/>
      <c r="B242" s="661"/>
      <c r="C242" s="185"/>
      <c r="D242" s="185"/>
      <c r="E242" s="185"/>
      <c r="F242" s="185"/>
      <c r="G242" s="186"/>
      <c r="H242" s="185"/>
      <c r="I242" s="185"/>
      <c r="J242" s="752"/>
      <c r="K242" s="752"/>
      <c r="L242" s="185"/>
      <c r="M242" s="185"/>
      <c r="N242" s="185"/>
      <c r="O242" s="185"/>
      <c r="P242" s="185"/>
      <c r="Q242" s="185"/>
      <c r="R242" s="185"/>
      <c r="S242" s="185"/>
      <c r="T242" s="185"/>
      <c r="U242" s="185"/>
    </row>
    <row r="243" spans="1:21">
      <c r="A243" s="185"/>
      <c r="B243" s="661"/>
      <c r="C243" s="185"/>
      <c r="D243" s="185"/>
      <c r="E243" s="185"/>
      <c r="F243" s="185"/>
      <c r="G243" s="186"/>
      <c r="H243" s="185"/>
      <c r="I243" s="185"/>
      <c r="J243" s="752"/>
      <c r="K243" s="752"/>
      <c r="L243" s="185"/>
      <c r="M243" s="185"/>
      <c r="N243" s="185"/>
      <c r="O243" s="185"/>
      <c r="P243" s="185"/>
      <c r="Q243" s="185"/>
      <c r="R243" s="185"/>
      <c r="S243" s="185"/>
      <c r="T243" s="185"/>
      <c r="U243" s="185"/>
    </row>
    <row r="244" spans="1:21">
      <c r="A244" s="185"/>
      <c r="B244" s="661"/>
      <c r="C244" s="185"/>
      <c r="D244" s="185"/>
      <c r="E244" s="185"/>
      <c r="F244" s="185"/>
      <c r="G244" s="186"/>
      <c r="H244" s="185"/>
      <c r="I244" s="185"/>
      <c r="J244" s="752"/>
      <c r="K244" s="752"/>
      <c r="L244" s="185"/>
      <c r="M244" s="185"/>
      <c r="N244" s="185"/>
      <c r="O244" s="185"/>
      <c r="P244" s="185"/>
      <c r="Q244" s="185"/>
      <c r="R244" s="185"/>
      <c r="S244" s="185"/>
      <c r="T244" s="185"/>
      <c r="U244" s="185"/>
    </row>
    <row r="245" spans="1:21">
      <c r="A245" s="185"/>
      <c r="B245" s="661"/>
      <c r="C245" s="185"/>
      <c r="D245" s="185"/>
      <c r="E245" s="185"/>
      <c r="F245" s="185"/>
      <c r="G245" s="186"/>
      <c r="H245" s="185"/>
      <c r="I245" s="185"/>
      <c r="J245" s="752"/>
      <c r="K245" s="752"/>
      <c r="L245" s="185"/>
      <c r="M245" s="185"/>
      <c r="N245" s="185"/>
      <c r="O245" s="185"/>
      <c r="P245" s="185"/>
      <c r="Q245" s="185"/>
      <c r="R245" s="185"/>
      <c r="S245" s="185"/>
      <c r="T245" s="185"/>
      <c r="U245" s="185"/>
    </row>
    <row r="246" spans="1:21">
      <c r="A246" s="185"/>
      <c r="B246" s="661"/>
      <c r="C246" s="185"/>
      <c r="D246" s="185"/>
      <c r="E246" s="185"/>
      <c r="F246" s="185"/>
      <c r="G246" s="186"/>
      <c r="H246" s="185"/>
      <c r="I246" s="185"/>
      <c r="J246" s="752"/>
      <c r="K246" s="752"/>
      <c r="L246" s="185"/>
      <c r="M246" s="185"/>
      <c r="N246" s="185"/>
      <c r="O246" s="185"/>
      <c r="P246" s="185"/>
      <c r="Q246" s="185"/>
      <c r="R246" s="185"/>
      <c r="S246" s="185"/>
      <c r="T246" s="185"/>
      <c r="U246" s="185"/>
    </row>
    <row r="247" spans="1:21">
      <c r="A247" s="185"/>
      <c r="B247" s="661"/>
      <c r="C247" s="185"/>
      <c r="D247" s="185"/>
      <c r="E247" s="185"/>
      <c r="F247" s="185"/>
      <c r="G247" s="186"/>
      <c r="H247" s="185"/>
      <c r="I247" s="185"/>
      <c r="J247" s="752"/>
      <c r="K247" s="752"/>
      <c r="L247" s="185"/>
      <c r="M247" s="185"/>
      <c r="N247" s="185"/>
      <c r="O247" s="185"/>
      <c r="P247" s="185"/>
      <c r="Q247" s="185"/>
      <c r="R247" s="185"/>
      <c r="S247" s="185"/>
      <c r="T247" s="185"/>
      <c r="U247" s="185"/>
    </row>
    <row r="248" spans="1:21">
      <c r="A248" s="185"/>
      <c r="B248" s="661"/>
      <c r="C248" s="185"/>
      <c r="D248" s="185"/>
      <c r="E248" s="185"/>
      <c r="F248" s="185"/>
      <c r="G248" s="186"/>
      <c r="H248" s="185"/>
      <c r="I248" s="185"/>
      <c r="J248" s="752"/>
      <c r="K248" s="752"/>
      <c r="L248" s="185"/>
      <c r="M248" s="185"/>
      <c r="N248" s="185"/>
      <c r="O248" s="185"/>
      <c r="P248" s="185"/>
      <c r="Q248" s="185"/>
      <c r="R248" s="185"/>
      <c r="S248" s="185"/>
      <c r="T248" s="185"/>
      <c r="U248" s="185"/>
    </row>
    <row r="249" spans="1:21">
      <c r="A249" s="185"/>
      <c r="B249" s="661"/>
      <c r="C249" s="185"/>
      <c r="D249" s="185"/>
      <c r="E249" s="185"/>
      <c r="F249" s="185"/>
      <c r="G249" s="186"/>
      <c r="H249" s="185"/>
      <c r="I249" s="185"/>
      <c r="J249" s="752"/>
      <c r="K249" s="752"/>
      <c r="L249" s="185"/>
      <c r="M249" s="185"/>
      <c r="N249" s="185"/>
      <c r="O249" s="185"/>
      <c r="P249" s="185"/>
      <c r="Q249" s="185"/>
      <c r="R249" s="185"/>
      <c r="S249" s="185"/>
      <c r="T249" s="185"/>
      <c r="U249" s="185"/>
    </row>
    <row r="250" spans="1:21">
      <c r="A250" s="185"/>
      <c r="B250" s="661"/>
      <c r="C250" s="185"/>
      <c r="D250" s="185"/>
      <c r="E250" s="185"/>
      <c r="F250" s="185"/>
      <c r="G250" s="186"/>
      <c r="H250" s="185"/>
      <c r="I250" s="185"/>
      <c r="J250" s="752"/>
      <c r="K250" s="752"/>
      <c r="L250" s="185"/>
      <c r="M250" s="185"/>
      <c r="N250" s="185"/>
      <c r="O250" s="185"/>
      <c r="P250" s="185"/>
      <c r="Q250" s="185"/>
      <c r="R250" s="185"/>
      <c r="S250" s="185"/>
      <c r="T250" s="185"/>
      <c r="U250" s="185"/>
    </row>
    <row r="251" spans="1:21">
      <c r="A251" s="185"/>
      <c r="B251" s="661"/>
      <c r="C251" s="185"/>
      <c r="D251" s="185"/>
      <c r="E251" s="185"/>
      <c r="F251" s="185"/>
      <c r="G251" s="186"/>
      <c r="H251" s="185"/>
      <c r="I251" s="185"/>
      <c r="J251" s="752"/>
      <c r="K251" s="752"/>
      <c r="L251" s="185"/>
      <c r="M251" s="185"/>
      <c r="N251" s="185"/>
      <c r="O251" s="185"/>
      <c r="P251" s="185"/>
      <c r="Q251" s="185"/>
      <c r="R251" s="185"/>
      <c r="S251" s="185"/>
      <c r="T251" s="185"/>
      <c r="U251" s="185"/>
    </row>
    <row r="252" spans="1:21">
      <c r="A252" s="185"/>
      <c r="B252" s="661"/>
      <c r="C252" s="185"/>
      <c r="D252" s="185"/>
      <c r="E252" s="185"/>
      <c r="F252" s="185"/>
      <c r="G252" s="186"/>
      <c r="H252" s="185"/>
      <c r="I252" s="185"/>
      <c r="J252" s="752"/>
      <c r="K252" s="752"/>
      <c r="L252" s="185"/>
      <c r="M252" s="185"/>
      <c r="N252" s="185"/>
      <c r="O252" s="185"/>
      <c r="P252" s="185"/>
      <c r="Q252" s="185"/>
      <c r="R252" s="185"/>
      <c r="S252" s="185"/>
      <c r="T252" s="185"/>
      <c r="U252" s="185"/>
    </row>
    <row r="253" spans="1:21">
      <c r="A253" s="185"/>
      <c r="B253" s="661"/>
      <c r="C253" s="185"/>
      <c r="D253" s="185"/>
      <c r="E253" s="185"/>
      <c r="F253" s="185"/>
      <c r="G253" s="186"/>
      <c r="H253" s="185"/>
      <c r="I253" s="185"/>
      <c r="J253" s="752"/>
      <c r="K253" s="752"/>
      <c r="L253" s="185"/>
      <c r="M253" s="185"/>
      <c r="N253" s="185"/>
      <c r="O253" s="185"/>
      <c r="P253" s="185"/>
      <c r="Q253" s="185"/>
      <c r="R253" s="185"/>
      <c r="S253" s="185"/>
      <c r="T253" s="185"/>
      <c r="U253" s="185"/>
    </row>
    <row r="254" spans="1:21">
      <c r="A254" s="185"/>
      <c r="B254" s="661"/>
      <c r="C254" s="185"/>
      <c r="D254" s="185"/>
      <c r="E254" s="185"/>
      <c r="F254" s="185"/>
      <c r="G254" s="186"/>
      <c r="H254" s="185"/>
      <c r="I254" s="185"/>
      <c r="J254" s="752"/>
      <c r="K254" s="752"/>
      <c r="L254" s="185"/>
      <c r="M254" s="185"/>
      <c r="N254" s="185"/>
      <c r="O254" s="185"/>
      <c r="P254" s="185"/>
      <c r="Q254" s="185"/>
      <c r="R254" s="185"/>
      <c r="S254" s="185"/>
      <c r="T254" s="185"/>
      <c r="U254" s="185"/>
    </row>
    <row r="255" spans="1:21">
      <c r="A255" s="185"/>
      <c r="B255" s="661"/>
      <c r="C255" s="185"/>
      <c r="D255" s="185"/>
      <c r="E255" s="185"/>
      <c r="F255" s="185"/>
      <c r="G255" s="186"/>
      <c r="H255" s="185"/>
      <c r="I255" s="185"/>
      <c r="J255" s="752"/>
      <c r="K255" s="752"/>
      <c r="L255" s="185"/>
      <c r="M255" s="185"/>
      <c r="N255" s="185"/>
      <c r="O255" s="185"/>
      <c r="P255" s="185"/>
      <c r="Q255" s="185"/>
      <c r="R255" s="185"/>
      <c r="S255" s="185"/>
      <c r="T255" s="185"/>
      <c r="U255" s="185"/>
    </row>
    <row r="256" spans="1:21">
      <c r="A256" s="185"/>
      <c r="B256" s="661"/>
      <c r="C256" s="185"/>
      <c r="D256" s="185"/>
      <c r="E256" s="185"/>
      <c r="F256" s="185"/>
      <c r="G256" s="186"/>
      <c r="H256" s="185"/>
      <c r="I256" s="185"/>
      <c r="J256" s="752"/>
      <c r="K256" s="752"/>
      <c r="L256" s="185"/>
      <c r="M256" s="185"/>
      <c r="N256" s="185"/>
      <c r="O256" s="185"/>
      <c r="P256" s="185"/>
      <c r="Q256" s="185"/>
      <c r="R256" s="185"/>
      <c r="S256" s="185"/>
      <c r="T256" s="185"/>
      <c r="U256" s="185"/>
    </row>
    <row r="257" spans="1:21">
      <c r="A257" s="185"/>
      <c r="B257" s="661"/>
      <c r="C257" s="185"/>
      <c r="D257" s="185"/>
      <c r="E257" s="185"/>
      <c r="F257" s="185"/>
      <c r="G257" s="186"/>
      <c r="H257" s="185"/>
      <c r="I257" s="185"/>
      <c r="J257" s="752"/>
      <c r="K257" s="752"/>
      <c r="L257" s="185"/>
      <c r="M257" s="185"/>
      <c r="N257" s="185"/>
      <c r="O257" s="185"/>
      <c r="P257" s="185"/>
      <c r="Q257" s="185"/>
      <c r="R257" s="185"/>
      <c r="S257" s="185"/>
      <c r="T257" s="185"/>
      <c r="U257" s="185"/>
    </row>
    <row r="258" spans="1:21">
      <c r="A258" s="185"/>
      <c r="B258" s="661"/>
      <c r="C258" s="185"/>
      <c r="D258" s="185"/>
      <c r="E258" s="185"/>
      <c r="F258" s="185"/>
      <c r="G258" s="186"/>
      <c r="H258" s="185"/>
      <c r="I258" s="185"/>
      <c r="J258" s="752"/>
      <c r="K258" s="752"/>
      <c r="L258" s="185"/>
      <c r="M258" s="185"/>
      <c r="N258" s="185"/>
      <c r="O258" s="185"/>
      <c r="P258" s="185"/>
      <c r="Q258" s="185"/>
      <c r="R258" s="185"/>
      <c r="S258" s="185"/>
      <c r="T258" s="185"/>
      <c r="U258" s="185"/>
    </row>
    <row r="259" spans="1:21">
      <c r="A259" s="185"/>
      <c r="B259" s="661"/>
      <c r="C259" s="185"/>
      <c r="D259" s="185"/>
      <c r="E259" s="185"/>
      <c r="F259" s="185"/>
      <c r="G259" s="186"/>
      <c r="H259" s="185"/>
      <c r="I259" s="185"/>
      <c r="J259" s="752"/>
      <c r="K259" s="752"/>
      <c r="L259" s="185"/>
      <c r="M259" s="185"/>
      <c r="N259" s="185"/>
      <c r="O259" s="185"/>
      <c r="P259" s="185"/>
      <c r="Q259" s="185"/>
      <c r="R259" s="185"/>
      <c r="S259" s="185"/>
      <c r="T259" s="185"/>
      <c r="U259" s="185"/>
    </row>
    <row r="260" spans="1:21">
      <c r="A260" s="185"/>
      <c r="B260" s="661"/>
      <c r="C260" s="185"/>
      <c r="D260" s="185"/>
      <c r="E260" s="185"/>
      <c r="F260" s="185"/>
      <c r="G260" s="186"/>
      <c r="H260" s="185"/>
      <c r="I260" s="185"/>
      <c r="J260" s="752"/>
      <c r="K260" s="752"/>
      <c r="L260" s="185"/>
      <c r="M260" s="185"/>
      <c r="N260" s="185"/>
      <c r="O260" s="185"/>
      <c r="P260" s="185"/>
      <c r="Q260" s="185"/>
      <c r="R260" s="185"/>
      <c r="S260" s="185"/>
      <c r="T260" s="185"/>
      <c r="U260" s="185"/>
    </row>
    <row r="261" spans="1:21">
      <c r="A261" s="185"/>
      <c r="B261" s="661"/>
      <c r="C261" s="185"/>
      <c r="D261" s="185"/>
      <c r="E261" s="185"/>
      <c r="F261" s="185"/>
      <c r="G261" s="186"/>
      <c r="H261" s="185"/>
      <c r="I261" s="185"/>
      <c r="J261" s="752"/>
      <c r="K261" s="752"/>
      <c r="L261" s="185"/>
      <c r="M261" s="185"/>
      <c r="N261" s="185"/>
      <c r="O261" s="185"/>
      <c r="P261" s="185"/>
      <c r="Q261" s="185"/>
      <c r="R261" s="185"/>
      <c r="S261" s="185"/>
      <c r="T261" s="185"/>
      <c r="U261" s="185"/>
    </row>
    <row r="262" spans="1:21">
      <c r="A262" s="185"/>
      <c r="B262" s="661"/>
      <c r="C262" s="185"/>
      <c r="D262" s="185"/>
      <c r="E262" s="185"/>
      <c r="F262" s="185"/>
      <c r="G262" s="186"/>
      <c r="H262" s="185"/>
      <c r="I262" s="185"/>
      <c r="J262" s="752"/>
      <c r="K262" s="752"/>
      <c r="L262" s="185"/>
      <c r="M262" s="185"/>
      <c r="N262" s="185"/>
      <c r="O262" s="185"/>
      <c r="P262" s="185"/>
      <c r="Q262" s="185"/>
      <c r="R262" s="185"/>
      <c r="S262" s="185"/>
      <c r="T262" s="185"/>
      <c r="U262" s="185"/>
    </row>
    <row r="263" spans="1:21">
      <c r="A263" s="185"/>
      <c r="B263" s="661"/>
      <c r="C263" s="185"/>
      <c r="D263" s="185"/>
      <c r="E263" s="185"/>
      <c r="F263" s="185"/>
      <c r="G263" s="186"/>
      <c r="H263" s="185"/>
      <c r="I263" s="185"/>
      <c r="J263" s="752"/>
      <c r="K263" s="752"/>
      <c r="L263" s="185"/>
      <c r="M263" s="185"/>
      <c r="N263" s="185"/>
      <c r="O263" s="185"/>
      <c r="P263" s="185"/>
      <c r="Q263" s="185"/>
      <c r="R263" s="185"/>
      <c r="S263" s="185"/>
      <c r="T263" s="185"/>
      <c r="U263" s="185"/>
    </row>
    <row r="264" spans="1:21">
      <c r="A264" s="185"/>
      <c r="B264" s="661"/>
      <c r="C264" s="185"/>
      <c r="D264" s="185"/>
      <c r="E264" s="185"/>
      <c r="F264" s="185"/>
      <c r="G264" s="186"/>
      <c r="H264" s="185"/>
      <c r="I264" s="185"/>
      <c r="J264" s="752"/>
      <c r="K264" s="752"/>
      <c r="L264" s="185"/>
      <c r="M264" s="185"/>
      <c r="N264" s="185"/>
      <c r="O264" s="185"/>
      <c r="P264" s="185"/>
      <c r="Q264" s="185"/>
      <c r="R264" s="185"/>
      <c r="S264" s="185"/>
      <c r="T264" s="185"/>
      <c r="U264" s="185"/>
    </row>
  </sheetData>
  <mergeCells count="8">
    <mergeCell ref="D92:G92"/>
    <mergeCell ref="D93:G93"/>
    <mergeCell ref="D2:G2"/>
    <mergeCell ref="D4:G4"/>
    <mergeCell ref="D5:G5"/>
    <mergeCell ref="D6:G6"/>
    <mergeCell ref="D89:G89"/>
    <mergeCell ref="D91:G91"/>
  </mergeCells>
  <conditionalFormatting sqref="G11:G17 G21:G29">
    <cfRule type="expression" dxfId="19" priority="1" stopIfTrue="1">
      <formula>$G$8="Estimated"</formula>
    </cfRule>
  </conditionalFormatting>
  <dataValidations count="2">
    <dataValidation allowBlank="1" showInputMessage="1" showErrorMessage="1" prompt="The Test Year (TY) estimate should include a &quot;normalization&quot; for painting and rehab costs for towers/reservoirs.  Ensure detail is in the &quot;Notes&quot; for historical costs, est future costs, est yr costs will again be incurred.  Also reconcile to the TY est." sqref="AC16"/>
    <dataValidation allowBlank="1" showInputMessage="1" showErrorMessage="1" prompt="The Test Year (TY) estimate should include a &quot;normalization&quot; of the estimated rate case total costs; typically over a 3 to 5 year period.  Detail in the &quot;Notes&quot; the assumptions used to arrive at the TY estimate." sqref="AC26"/>
  </dataValidations>
  <hyperlinks>
    <hyperlink ref="J11:K17" location="Attach19!A1" tooltip="Click to open Notes" display="Attach19!A1"/>
    <hyperlink ref="J21:K29" location="Attach19!A1" tooltip="Click to open Notes" display="Attach19!A1"/>
  </hyperlinks>
  <printOptions horizontalCentered="1"/>
  <pageMargins left="0" right="0" top="0" bottom="0" header="0" footer="0"/>
  <pageSetup scale="67" orientation="landscape" blackAndWhite="1" horizontalDpi="300" verticalDpi="300" r:id="rId1"/>
  <headerFooter alignWithMargins="0"/>
  <legacyDrawing r:id="rId2"/>
  <controls>
    <control shapeId="53253" r:id="rId3" name="Label1"/>
  </controls>
</worksheet>
</file>

<file path=xl/worksheets/sheet23.xml><?xml version="1.0" encoding="utf-8"?>
<worksheet xmlns="http://schemas.openxmlformats.org/spreadsheetml/2006/main" xmlns:r="http://schemas.openxmlformats.org/officeDocument/2006/relationships">
  <sheetPr codeName="Sheet12"/>
  <dimension ref="A1:S638"/>
  <sheetViews>
    <sheetView showGridLines="0" topLeftCell="D67" zoomScaleNormal="100" workbookViewId="0">
      <selection activeCell="J90" sqref="J90"/>
    </sheetView>
  </sheetViews>
  <sheetFormatPr defaultColWidth="8.85546875" defaultRowHeight="12.75"/>
  <cols>
    <col min="1" max="1" width="8.85546875" style="91"/>
    <col min="2" max="2" width="8.7109375" style="129" customWidth="1"/>
    <col min="3" max="3" width="36.140625" style="91" customWidth="1"/>
    <col min="4" max="4" width="14.7109375" style="91" customWidth="1"/>
    <col min="5" max="5" width="13.85546875" style="91" customWidth="1"/>
    <col min="6" max="7" width="13.7109375" style="91" customWidth="1"/>
    <col min="8" max="8" width="15.7109375" style="90" customWidth="1"/>
    <col min="9" max="10" width="14.85546875" style="90" customWidth="1"/>
    <col min="11" max="11" width="15.7109375" style="91" customWidth="1"/>
    <col min="12" max="12" width="13.28515625" style="91" customWidth="1"/>
    <col min="13" max="13" width="14.7109375" style="90" customWidth="1"/>
    <col min="14" max="14" width="14.28515625" style="91" customWidth="1"/>
    <col min="15" max="16384" width="8.85546875" style="91"/>
  </cols>
  <sheetData>
    <row r="1" spans="1:19">
      <c r="A1" s="185"/>
      <c r="B1" s="714" t="str">
        <f>TestYear &amp; " Test Year"</f>
        <v>2015 Test Year</v>
      </c>
      <c r="C1" s="671"/>
      <c r="D1" s="671"/>
      <c r="E1" s="671"/>
      <c r="F1" s="671"/>
      <c r="G1" s="671"/>
      <c r="H1" s="671"/>
      <c r="I1" s="671"/>
      <c r="J1" s="671"/>
      <c r="K1" s="671"/>
      <c r="L1" s="671"/>
      <c r="M1" s="671"/>
      <c r="N1" s="1001" t="s">
        <v>573</v>
      </c>
      <c r="O1" s="185"/>
      <c r="P1" s="185"/>
      <c r="Q1" s="185"/>
      <c r="R1" s="185"/>
      <c r="S1" s="185"/>
    </row>
    <row r="2" spans="1:19">
      <c r="A2" s="185"/>
      <c r="B2" s="822"/>
      <c r="C2" s="671"/>
      <c r="D2" s="2012" t="str">
        <f>Utility</f>
        <v>MADISON WATER UTILITY</v>
      </c>
      <c r="E2" s="2013"/>
      <c r="F2" s="2013"/>
      <c r="G2" s="2013"/>
      <c r="H2" s="2013"/>
      <c r="I2" s="2013"/>
      <c r="J2" s="2013"/>
      <c r="K2" s="2013"/>
      <c r="L2" s="2013"/>
      <c r="M2" s="671"/>
      <c r="N2" s="1001" t="s">
        <v>525</v>
      </c>
      <c r="O2" s="185"/>
      <c r="P2" s="185"/>
      <c r="Q2" s="185"/>
      <c r="R2" s="185"/>
      <c r="S2" s="185"/>
    </row>
    <row r="3" spans="1:19" ht="10.9" customHeight="1">
      <c r="A3" s="185"/>
      <c r="B3" s="822"/>
      <c r="C3" s="822"/>
      <c r="D3" s="671"/>
      <c r="E3" s="671"/>
      <c r="F3" s="671"/>
      <c r="G3" s="671"/>
      <c r="H3" s="671"/>
      <c r="I3" s="671"/>
      <c r="J3" s="671"/>
      <c r="K3" s="822"/>
      <c r="L3" s="822"/>
      <c r="M3" s="822"/>
      <c r="N3" s="822"/>
      <c r="O3" s="185"/>
      <c r="P3" s="185"/>
      <c r="Q3" s="185"/>
      <c r="R3" s="185"/>
      <c r="S3" s="185"/>
    </row>
    <row r="4" spans="1:19">
      <c r="A4" s="185"/>
      <c r="B4" s="822"/>
      <c r="C4" s="671"/>
      <c r="D4" s="2014" t="s">
        <v>574</v>
      </c>
      <c r="E4" s="2014"/>
      <c r="F4" s="2014"/>
      <c r="G4" s="2014"/>
      <c r="H4" s="2014"/>
      <c r="I4" s="2014"/>
      <c r="J4" s="2014"/>
      <c r="K4" s="2014"/>
      <c r="L4" s="2014"/>
      <c r="M4" s="671"/>
      <c r="N4" s="671"/>
      <c r="O4" s="185"/>
      <c r="P4" s="185"/>
      <c r="Q4" s="185"/>
      <c r="R4" s="185"/>
      <c r="S4" s="185"/>
    </row>
    <row r="5" spans="1:19">
      <c r="A5" s="185"/>
      <c r="B5" s="1002"/>
      <c r="C5" s="671" t="s">
        <v>527</v>
      </c>
      <c r="D5" s="2014" t="str">
        <f>"Estimated for Test Year "&amp; TestYear</f>
        <v>Estimated for Test Year 2015</v>
      </c>
      <c r="E5" s="2015"/>
      <c r="F5" s="2015"/>
      <c r="G5" s="2015"/>
      <c r="H5" s="2015"/>
      <c r="I5" s="2015"/>
      <c r="J5" s="2015"/>
      <c r="K5" s="2015"/>
      <c r="L5" s="2015"/>
      <c r="M5" s="1002"/>
      <c r="N5" s="1002"/>
      <c r="O5" s="185"/>
      <c r="P5" s="185"/>
      <c r="Q5" s="185"/>
      <c r="R5" s="185"/>
      <c r="S5" s="185"/>
    </row>
    <row r="6" spans="1:19" ht="13.5" thickBot="1">
      <c r="A6" s="185"/>
      <c r="B6" s="822"/>
      <c r="C6" s="671"/>
      <c r="D6" s="2016" t="s">
        <v>575</v>
      </c>
      <c r="E6" s="2017"/>
      <c r="F6" s="2017"/>
      <c r="G6" s="2017"/>
      <c r="H6" s="2017"/>
      <c r="I6" s="2017"/>
      <c r="J6" s="2017"/>
      <c r="K6" s="2017"/>
      <c r="L6" s="2017"/>
      <c r="M6" s="671"/>
      <c r="N6" s="671"/>
      <c r="O6" s="185"/>
      <c r="P6" s="185"/>
      <c r="Q6" s="185"/>
      <c r="R6" s="185"/>
      <c r="S6" s="185"/>
    </row>
    <row r="7" spans="1:19" ht="15.75" customHeight="1" thickTop="1">
      <c r="A7" s="185"/>
      <c r="B7" s="1021"/>
      <c r="C7" s="1022"/>
      <c r="D7" s="1023" t="s">
        <v>8</v>
      </c>
      <c r="E7" s="2018" t="str">
        <f>CONCATENATE(Data!H5, " ",TestYear-1)</f>
        <v>Estimated 2014</v>
      </c>
      <c r="F7" s="2019"/>
      <c r="G7" s="1024"/>
      <c r="H7" s="956" t="str">
        <f>Data!H5</f>
        <v>Estimated</v>
      </c>
      <c r="I7" s="2021" t="str">
        <f>CONCATENATE("Estimate ",TestYear)</f>
        <v>Estimate 2015</v>
      </c>
      <c r="J7" s="2022"/>
      <c r="K7" s="2022"/>
      <c r="L7" s="2022"/>
      <c r="M7" s="1026" t="s">
        <v>577</v>
      </c>
      <c r="N7" s="956" t="s">
        <v>396</v>
      </c>
      <c r="O7" s="368"/>
      <c r="P7" s="185"/>
      <c r="Q7" s="185"/>
      <c r="R7" s="185"/>
      <c r="S7" s="185"/>
    </row>
    <row r="8" spans="1:19">
      <c r="A8" s="185"/>
      <c r="B8" s="1027" t="s">
        <v>528</v>
      </c>
      <c r="C8" s="719" t="s">
        <v>578</v>
      </c>
      <c r="D8" s="1008" t="s">
        <v>579</v>
      </c>
      <c r="E8" s="2020"/>
      <c r="F8" s="2020"/>
      <c r="G8" s="1003"/>
      <c r="H8" s="804" t="s">
        <v>579</v>
      </c>
      <c r="I8" s="2023" t="s">
        <v>580</v>
      </c>
      <c r="J8" s="2023"/>
      <c r="K8" s="2023" t="s">
        <v>581</v>
      </c>
      <c r="L8" s="2024"/>
      <c r="M8" s="803" t="s">
        <v>579</v>
      </c>
      <c r="N8" s="804" t="s">
        <v>256</v>
      </c>
      <c r="O8" s="370"/>
      <c r="P8" s="185"/>
      <c r="Q8" s="185"/>
      <c r="R8" s="185"/>
      <c r="S8" s="185"/>
    </row>
    <row r="9" spans="1:19">
      <c r="A9" s="185"/>
      <c r="B9" s="1027" t="s">
        <v>529</v>
      </c>
      <c r="C9" s="804" t="s">
        <v>576</v>
      </c>
      <c r="D9" s="803" t="str">
        <f>"12/31/"&amp;TEXT(TestYear-2,0)</f>
        <v>12/31/2013</v>
      </c>
      <c r="E9" s="864" t="s">
        <v>582</v>
      </c>
      <c r="F9" s="865" t="s">
        <v>583</v>
      </c>
      <c r="G9" s="864" t="s">
        <v>584</v>
      </c>
      <c r="H9" s="804" t="str">
        <f>"12/31/"&amp;TEXT(TestYear-1,0)</f>
        <v>12/31/2014</v>
      </c>
      <c r="I9" s="865" t="s">
        <v>582</v>
      </c>
      <c r="J9" s="864" t="s">
        <v>583</v>
      </c>
      <c r="K9" s="864" t="s">
        <v>582</v>
      </c>
      <c r="L9" s="864" t="s">
        <v>583</v>
      </c>
      <c r="M9" s="803" t="str">
        <f>"12/31/"&amp;TEXT(TestYear,0)</f>
        <v>12/31/2015</v>
      </c>
      <c r="N9" s="804" t="s">
        <v>585</v>
      </c>
      <c r="O9" s="370"/>
      <c r="P9" s="185"/>
      <c r="Q9" s="185"/>
      <c r="R9" s="185"/>
      <c r="S9" s="185"/>
    </row>
    <row r="10" spans="1:19">
      <c r="A10" s="185"/>
      <c r="B10" s="1028" t="s">
        <v>530</v>
      </c>
      <c r="C10" s="1004"/>
      <c r="D10" s="675" t="s">
        <v>531</v>
      </c>
      <c r="E10" s="1005" t="s">
        <v>586</v>
      </c>
      <c r="F10" s="1005" t="s">
        <v>587</v>
      </c>
      <c r="G10" s="1005"/>
      <c r="H10" s="1006" t="s">
        <v>531</v>
      </c>
      <c r="I10" s="1005" t="s">
        <v>586</v>
      </c>
      <c r="J10" s="1005" t="s">
        <v>587</v>
      </c>
      <c r="K10" s="1005" t="s">
        <v>586</v>
      </c>
      <c r="L10" s="1005" t="s">
        <v>587</v>
      </c>
      <c r="M10" s="1006" t="s">
        <v>531</v>
      </c>
      <c r="N10" s="1007"/>
      <c r="O10" s="370"/>
      <c r="P10" s="185"/>
      <c r="Q10" s="185"/>
      <c r="R10" s="185"/>
      <c r="S10" s="185"/>
    </row>
    <row r="11" spans="1:19">
      <c r="A11" s="185"/>
      <c r="B11" s="700"/>
      <c r="C11" s="736" t="s">
        <v>588</v>
      </c>
      <c r="D11" s="673"/>
      <c r="E11" s="673"/>
      <c r="F11" s="673"/>
      <c r="G11" s="673"/>
      <c r="H11" s="673"/>
      <c r="I11" s="673"/>
      <c r="J11" s="673"/>
      <c r="K11" s="673"/>
      <c r="L11" s="673"/>
      <c r="M11" s="673"/>
      <c r="N11" s="673"/>
      <c r="O11" s="370"/>
      <c r="P11" s="185"/>
      <c r="Q11" s="185"/>
      <c r="R11" s="185"/>
      <c r="S11" s="185"/>
    </row>
    <row r="12" spans="1:19">
      <c r="A12" s="185"/>
      <c r="B12" s="702">
        <v>301</v>
      </c>
      <c r="C12" s="673" t="s">
        <v>589</v>
      </c>
      <c r="D12" s="920">
        <f>Data!B115</f>
        <v>0</v>
      </c>
      <c r="E12" s="738">
        <f>Data!D115</f>
        <v>0</v>
      </c>
      <c r="F12" s="738">
        <f>Data!E115</f>
        <v>0</v>
      </c>
      <c r="G12" s="921">
        <v>0</v>
      </c>
      <c r="H12" s="920">
        <f>ROUND(D12+E12-F12+G12,0)</f>
        <v>0</v>
      </c>
      <c r="I12" s="1234">
        <v>0</v>
      </c>
      <c r="J12" s="1234">
        <v>0</v>
      </c>
      <c r="K12" s="1234">
        <v>0</v>
      </c>
      <c r="L12" s="921">
        <v>0</v>
      </c>
      <c r="M12" s="920">
        <f>H12+I12-J12+K12-L12</f>
        <v>0</v>
      </c>
      <c r="N12" s="920">
        <f>ROUND(H12+I12-J12+(K12*0.5)-(L12*0.5),0)</f>
        <v>0</v>
      </c>
      <c r="O12" s="370"/>
      <c r="P12" s="185"/>
      <c r="Q12" s="185"/>
      <c r="R12" s="185"/>
      <c r="S12" s="185"/>
    </row>
    <row r="13" spans="1:19">
      <c r="A13" s="185"/>
      <c r="B13" s="702">
        <v>302</v>
      </c>
      <c r="C13" s="673" t="s">
        <v>590</v>
      </c>
      <c r="D13" s="674">
        <f>Data!B116</f>
        <v>0</v>
      </c>
      <c r="E13" s="676">
        <f>Data!D116</f>
        <v>0</v>
      </c>
      <c r="F13" s="738">
        <f>Data!E116</f>
        <v>0</v>
      </c>
      <c r="G13" s="672">
        <v>0</v>
      </c>
      <c r="H13" s="674">
        <f>ROUND(D13+E13-F13+G13,0)</f>
        <v>0</v>
      </c>
      <c r="I13" s="1235">
        <v>0</v>
      </c>
      <c r="J13" s="1235">
        <v>0</v>
      </c>
      <c r="K13" s="1235">
        <v>0</v>
      </c>
      <c r="L13" s="672">
        <v>0</v>
      </c>
      <c r="M13" s="674">
        <f>H13+I13-J13+K13-L13</f>
        <v>0</v>
      </c>
      <c r="N13" s="674">
        <f>ROUND(H13+I13-J13+(K13*0.5)-(L13*0.5),0)</f>
        <v>0</v>
      </c>
      <c r="O13" s="370"/>
      <c r="P13" s="185"/>
      <c r="Q13" s="185"/>
      <c r="R13" s="185"/>
      <c r="S13" s="185"/>
    </row>
    <row r="14" spans="1:19">
      <c r="A14" s="185"/>
      <c r="B14" s="702">
        <v>303</v>
      </c>
      <c r="C14" s="673" t="s">
        <v>591</v>
      </c>
      <c r="D14" s="1034">
        <f>Data!B117</f>
        <v>0</v>
      </c>
      <c r="E14" s="1011">
        <f>Data!D117</f>
        <v>0</v>
      </c>
      <c r="F14" s="858">
        <f>Data!E117</f>
        <v>0</v>
      </c>
      <c r="G14" s="672">
        <v>0</v>
      </c>
      <c r="H14" s="675">
        <f>ROUND(D14+E14-F14+G14,0)</f>
        <v>0</v>
      </c>
      <c r="I14" s="1235">
        <v>0</v>
      </c>
      <c r="J14" s="1235">
        <v>0</v>
      </c>
      <c r="K14" s="1235">
        <v>0</v>
      </c>
      <c r="L14" s="672">
        <v>0</v>
      </c>
      <c r="M14" s="674">
        <f>H14+I14-J14+K14-L14</f>
        <v>0</v>
      </c>
      <c r="N14" s="674">
        <f>ROUND(H14+I14-J14+(K14*0.5)-(L14*0.5),0)</f>
        <v>0</v>
      </c>
      <c r="O14" s="370"/>
      <c r="P14" s="185"/>
      <c r="Q14" s="185"/>
      <c r="R14" s="185"/>
      <c r="S14" s="185"/>
    </row>
    <row r="15" spans="1:19">
      <c r="A15" s="185"/>
      <c r="B15" s="702"/>
      <c r="C15" s="673"/>
      <c r="D15" s="719"/>
      <c r="E15" s="673"/>
      <c r="F15" s="673"/>
      <c r="G15" s="673"/>
      <c r="H15" s="673"/>
      <c r="I15" s="673">
        <v>0</v>
      </c>
      <c r="J15" s="673"/>
      <c r="K15" s="673"/>
      <c r="L15" s="673"/>
      <c r="M15" s="1012"/>
      <c r="N15" s="940"/>
      <c r="O15" s="370"/>
      <c r="P15" s="185"/>
      <c r="Q15" s="185"/>
      <c r="R15" s="185"/>
      <c r="S15" s="185"/>
    </row>
    <row r="16" spans="1:19">
      <c r="A16" s="185"/>
      <c r="B16" s="702"/>
      <c r="C16" s="673" t="s">
        <v>592</v>
      </c>
      <c r="D16" s="935">
        <f t="shared" ref="D16:M16" si="0">SUM(D12:D14)</f>
        <v>0</v>
      </c>
      <c r="E16" s="935">
        <f t="shared" si="0"/>
        <v>0</v>
      </c>
      <c r="F16" s="935">
        <f t="shared" si="0"/>
        <v>0</v>
      </c>
      <c r="G16" s="935">
        <f t="shared" si="0"/>
        <v>0</v>
      </c>
      <c r="H16" s="935">
        <f t="shared" si="0"/>
        <v>0</v>
      </c>
      <c r="I16" s="935">
        <v>0</v>
      </c>
      <c r="J16" s="935">
        <f t="shared" si="0"/>
        <v>0</v>
      </c>
      <c r="K16" s="935">
        <f t="shared" si="0"/>
        <v>0</v>
      </c>
      <c r="L16" s="935">
        <f t="shared" si="0"/>
        <v>0</v>
      </c>
      <c r="M16" s="935">
        <f t="shared" si="0"/>
        <v>0</v>
      </c>
      <c r="N16" s="935">
        <f>SUM(N12:N14)</f>
        <v>0</v>
      </c>
      <c r="O16" s="370"/>
      <c r="P16" s="185"/>
      <c r="Q16" s="185"/>
      <c r="R16" s="185"/>
      <c r="S16" s="185"/>
    </row>
    <row r="17" spans="1:19">
      <c r="A17" s="185"/>
      <c r="B17" s="702"/>
      <c r="C17" s="673"/>
      <c r="D17" s="674" t="s">
        <v>593</v>
      </c>
      <c r="E17" s="673" t="s">
        <v>593</v>
      </c>
      <c r="F17" s="673" t="s">
        <v>593</v>
      </c>
      <c r="G17" s="673"/>
      <c r="H17" s="673" t="s">
        <v>593</v>
      </c>
      <c r="I17" s="673" t="s">
        <v>593</v>
      </c>
      <c r="J17" s="673"/>
      <c r="K17" s="673" t="s">
        <v>593</v>
      </c>
      <c r="L17" s="673" t="s">
        <v>593</v>
      </c>
      <c r="M17" s="673" t="s">
        <v>593</v>
      </c>
      <c r="N17" s="738"/>
      <c r="O17" s="370"/>
      <c r="P17" s="185"/>
      <c r="Q17" s="185"/>
      <c r="R17" s="185"/>
      <c r="S17" s="185"/>
    </row>
    <row r="18" spans="1:19">
      <c r="A18" s="185"/>
      <c r="B18" s="702"/>
      <c r="C18" s="736" t="s">
        <v>594</v>
      </c>
      <c r="D18" s="1035" t="s">
        <v>342</v>
      </c>
      <c r="E18" s="673"/>
      <c r="F18" s="673"/>
      <c r="G18" s="673"/>
      <c r="H18" s="1029" t="s">
        <v>342</v>
      </c>
      <c r="I18" s="676" t="s">
        <v>342</v>
      </c>
      <c r="J18" s="676"/>
      <c r="K18" s="676" t="s">
        <v>342</v>
      </c>
      <c r="L18" s="676" t="s">
        <v>342</v>
      </c>
      <c r="M18" s="1029" t="s">
        <v>342</v>
      </c>
      <c r="N18" s="738"/>
      <c r="O18" s="370"/>
      <c r="P18" s="185"/>
      <c r="Q18" s="185"/>
      <c r="R18" s="185"/>
      <c r="S18" s="185"/>
    </row>
    <row r="19" spans="1:19">
      <c r="A19" s="185"/>
      <c r="B19" s="702">
        <v>310</v>
      </c>
      <c r="C19" s="673" t="s">
        <v>595</v>
      </c>
      <c r="D19" s="920">
        <f>Data!B118</f>
        <v>678740</v>
      </c>
      <c r="E19" s="738">
        <v>0</v>
      </c>
      <c r="F19" s="738">
        <v>0</v>
      </c>
      <c r="G19" s="921">
        <v>0</v>
      </c>
      <c r="H19" s="920">
        <f>ROUND(D19+E19-F19+G19,0)</f>
        <v>678740</v>
      </c>
      <c r="I19" s="1234">
        <v>0</v>
      </c>
      <c r="J19" s="1234">
        <v>0</v>
      </c>
      <c r="K19" s="1234">
        <v>0</v>
      </c>
      <c r="L19" s="921">
        <v>0</v>
      </c>
      <c r="M19" s="920">
        <f t="shared" ref="M19:M25" si="1">H19+I19-J19+K19-L19</f>
        <v>678740</v>
      </c>
      <c r="N19" s="920">
        <f>ROUND(H19+I19-J19+(K19*0.5)-(L19*0.5),0)</f>
        <v>678740</v>
      </c>
      <c r="O19" s="370"/>
      <c r="P19" s="185"/>
      <c r="Q19" s="185"/>
      <c r="R19" s="185"/>
      <c r="S19" s="185"/>
    </row>
    <row r="20" spans="1:19">
      <c r="A20" s="185"/>
      <c r="B20" s="702">
        <v>311</v>
      </c>
      <c r="C20" s="673" t="s">
        <v>596</v>
      </c>
      <c r="D20" s="674">
        <f>Data!B119</f>
        <v>0</v>
      </c>
      <c r="E20" s="676">
        <v>0</v>
      </c>
      <c r="F20" s="676">
        <v>0</v>
      </c>
      <c r="G20" s="672">
        <v>0</v>
      </c>
      <c r="H20" s="674">
        <f t="shared" ref="H20:H25" si="2">ROUND(D20+E20-F20+G20,0)</f>
        <v>0</v>
      </c>
      <c r="I20" s="1235">
        <v>0</v>
      </c>
      <c r="J20" s="1235">
        <v>0</v>
      </c>
      <c r="K20" s="1235">
        <v>0</v>
      </c>
      <c r="L20" s="672">
        <v>0</v>
      </c>
      <c r="M20" s="674">
        <f t="shared" si="1"/>
        <v>0</v>
      </c>
      <c r="N20" s="674">
        <f t="shared" ref="N20:N25" si="3">ROUND(H20+I20-J20+(K20*0.5)-(L20*0.5),0)</f>
        <v>0</v>
      </c>
      <c r="O20" s="370"/>
      <c r="P20" s="185"/>
      <c r="Q20" s="185"/>
      <c r="R20" s="185"/>
      <c r="S20" s="185"/>
    </row>
    <row r="21" spans="1:19">
      <c r="A21" s="185"/>
      <c r="B21" s="702">
        <v>312</v>
      </c>
      <c r="C21" s="673" t="s">
        <v>597</v>
      </c>
      <c r="D21" s="674">
        <f>Data!B120</f>
        <v>5566870</v>
      </c>
      <c r="E21" s="676">
        <v>959167</v>
      </c>
      <c r="F21" s="676">
        <v>79000</v>
      </c>
      <c r="G21" s="672">
        <v>0</v>
      </c>
      <c r="H21" s="674">
        <f t="shared" si="2"/>
        <v>6447037</v>
      </c>
      <c r="I21" s="1235">
        <v>506000</v>
      </c>
      <c r="J21" s="1235">
        <v>0</v>
      </c>
      <c r="K21" s="1235">
        <v>0</v>
      </c>
      <c r="L21" s="672">
        <v>0</v>
      </c>
      <c r="M21" s="674">
        <f t="shared" si="1"/>
        <v>6953037</v>
      </c>
      <c r="N21" s="674">
        <f t="shared" si="3"/>
        <v>6953037</v>
      </c>
      <c r="O21" s="370"/>
      <c r="P21" s="185"/>
      <c r="Q21" s="185"/>
      <c r="R21" s="185"/>
      <c r="S21" s="185"/>
    </row>
    <row r="22" spans="1:19">
      <c r="A22" s="185"/>
      <c r="B22" s="702">
        <v>313</v>
      </c>
      <c r="C22" s="673" t="s">
        <v>598</v>
      </c>
      <c r="D22" s="674">
        <f>Data!B121</f>
        <v>0</v>
      </c>
      <c r="E22" s="676">
        <v>0</v>
      </c>
      <c r="F22" s="676">
        <v>0</v>
      </c>
      <c r="G22" s="672">
        <v>0</v>
      </c>
      <c r="H22" s="674">
        <f t="shared" si="2"/>
        <v>0</v>
      </c>
      <c r="I22" s="1235">
        <v>0</v>
      </c>
      <c r="J22" s="1235">
        <v>0</v>
      </c>
      <c r="K22" s="1235">
        <v>0</v>
      </c>
      <c r="L22" s="672">
        <v>0</v>
      </c>
      <c r="M22" s="674">
        <f t="shared" si="1"/>
        <v>0</v>
      </c>
      <c r="N22" s="674">
        <f t="shared" si="3"/>
        <v>0</v>
      </c>
      <c r="O22" s="370"/>
      <c r="P22" s="185"/>
      <c r="Q22" s="185"/>
      <c r="R22" s="185"/>
      <c r="S22" s="185"/>
    </row>
    <row r="23" spans="1:19">
      <c r="A23" s="185"/>
      <c r="B23" s="702">
        <v>314</v>
      </c>
      <c r="C23" s="673" t="s">
        <v>599</v>
      </c>
      <c r="D23" s="674">
        <f>Data!B122</f>
        <v>4221415</v>
      </c>
      <c r="E23" s="676">
        <v>1221053</v>
      </c>
      <c r="F23" s="676">
        <v>0</v>
      </c>
      <c r="G23" s="672">
        <v>0</v>
      </c>
      <c r="H23" s="674">
        <f t="shared" si="2"/>
        <v>5442468</v>
      </c>
      <c r="I23" s="1235">
        <v>0</v>
      </c>
      <c r="J23" s="1235">
        <v>0</v>
      </c>
      <c r="K23" s="1235">
        <v>878873</v>
      </c>
      <c r="L23" s="672">
        <v>0</v>
      </c>
      <c r="M23" s="674">
        <f t="shared" si="1"/>
        <v>6321341</v>
      </c>
      <c r="N23" s="674">
        <f t="shared" si="3"/>
        <v>5881905</v>
      </c>
      <c r="O23" s="370"/>
      <c r="P23" s="185"/>
      <c r="Q23" s="185"/>
      <c r="R23" s="185"/>
      <c r="S23" s="185"/>
    </row>
    <row r="24" spans="1:19">
      <c r="A24" s="185"/>
      <c r="B24" s="702">
        <v>316</v>
      </c>
      <c r="C24" s="673" t="s">
        <v>600</v>
      </c>
      <c r="D24" s="674">
        <f>Data!B123</f>
        <v>0</v>
      </c>
      <c r="E24" s="676">
        <v>0</v>
      </c>
      <c r="F24" s="676">
        <v>0</v>
      </c>
      <c r="G24" s="672">
        <v>0</v>
      </c>
      <c r="H24" s="674">
        <f t="shared" si="2"/>
        <v>0</v>
      </c>
      <c r="I24" s="1235">
        <v>0</v>
      </c>
      <c r="J24" s="1235">
        <v>0</v>
      </c>
      <c r="K24" s="1235">
        <v>0</v>
      </c>
      <c r="L24" s="672">
        <v>0</v>
      </c>
      <c r="M24" s="674">
        <f t="shared" si="1"/>
        <v>0</v>
      </c>
      <c r="N24" s="674">
        <f t="shared" si="3"/>
        <v>0</v>
      </c>
      <c r="O24" s="370"/>
      <c r="P24" s="185"/>
      <c r="Q24" s="185"/>
      <c r="R24" s="185"/>
      <c r="S24" s="185"/>
    </row>
    <row r="25" spans="1:19">
      <c r="A25" s="185"/>
      <c r="B25" s="702">
        <v>317</v>
      </c>
      <c r="C25" s="673" t="s">
        <v>601</v>
      </c>
      <c r="D25" s="675">
        <f>Data!B124</f>
        <v>157362</v>
      </c>
      <c r="E25" s="922">
        <v>133750</v>
      </c>
      <c r="F25" s="922">
        <v>0</v>
      </c>
      <c r="G25" s="672">
        <v>0</v>
      </c>
      <c r="H25" s="675">
        <f t="shared" si="2"/>
        <v>291112</v>
      </c>
      <c r="I25" s="1235">
        <v>0</v>
      </c>
      <c r="J25" s="1235">
        <v>0</v>
      </c>
      <c r="K25" s="1235">
        <v>0</v>
      </c>
      <c r="L25" s="672">
        <v>0</v>
      </c>
      <c r="M25" s="674">
        <f t="shared" si="1"/>
        <v>291112</v>
      </c>
      <c r="N25" s="674">
        <f t="shared" si="3"/>
        <v>291112</v>
      </c>
      <c r="O25" s="370"/>
      <c r="P25" s="185"/>
      <c r="Q25" s="185"/>
      <c r="R25" s="185"/>
      <c r="S25" s="185"/>
    </row>
    <row r="26" spans="1:19">
      <c r="A26" s="185"/>
      <c r="B26" s="702"/>
      <c r="C26" s="673"/>
      <c r="D26" s="719"/>
      <c r="E26" s="673"/>
      <c r="F26" s="673"/>
      <c r="G26" s="673"/>
      <c r="H26" s="673"/>
      <c r="I26" s="673"/>
      <c r="J26" s="673"/>
      <c r="K26" s="673"/>
      <c r="L26" s="673"/>
      <c r="M26" s="1012"/>
      <c r="N26" s="940"/>
      <c r="O26" s="370"/>
      <c r="P26" s="185"/>
      <c r="Q26" s="185"/>
      <c r="R26" s="185"/>
      <c r="S26" s="185"/>
    </row>
    <row r="27" spans="1:19">
      <c r="A27" s="185"/>
      <c r="B27" s="702"/>
      <c r="C27" s="673" t="s">
        <v>602</v>
      </c>
      <c r="D27" s="935">
        <f t="shared" ref="D27:M27" si="4">SUM(D19:D25)</f>
        <v>10624387</v>
      </c>
      <c r="E27" s="935">
        <f t="shared" si="4"/>
        <v>2313970</v>
      </c>
      <c r="F27" s="935">
        <f t="shared" si="4"/>
        <v>79000</v>
      </c>
      <c r="G27" s="935">
        <f t="shared" si="4"/>
        <v>0</v>
      </c>
      <c r="H27" s="935">
        <f t="shared" si="4"/>
        <v>12859357</v>
      </c>
      <c r="I27" s="935">
        <f t="shared" si="4"/>
        <v>506000</v>
      </c>
      <c r="J27" s="935">
        <f>SUM(J19:J25)</f>
        <v>0</v>
      </c>
      <c r="K27" s="935">
        <f t="shared" si="4"/>
        <v>878873</v>
      </c>
      <c r="L27" s="935">
        <f t="shared" si="4"/>
        <v>0</v>
      </c>
      <c r="M27" s="935">
        <f t="shared" si="4"/>
        <v>14244230</v>
      </c>
      <c r="N27" s="935">
        <f>SUM(N19:N25)</f>
        <v>13804794</v>
      </c>
      <c r="O27" s="370"/>
      <c r="P27" s="185"/>
      <c r="Q27" s="185"/>
      <c r="R27" s="185"/>
      <c r="S27" s="185"/>
    </row>
    <row r="28" spans="1:19">
      <c r="A28" s="185"/>
      <c r="B28" s="702"/>
      <c r="C28" s="673"/>
      <c r="D28" s="674" t="s">
        <v>593</v>
      </c>
      <c r="E28" s="673" t="s">
        <v>593</v>
      </c>
      <c r="F28" s="673" t="s">
        <v>593</v>
      </c>
      <c r="G28" s="673"/>
      <c r="H28" s="673" t="s">
        <v>593</v>
      </c>
      <c r="I28" s="673" t="s">
        <v>593</v>
      </c>
      <c r="J28" s="673"/>
      <c r="K28" s="673" t="s">
        <v>593</v>
      </c>
      <c r="L28" s="673" t="s">
        <v>593</v>
      </c>
      <c r="M28" s="673" t="s">
        <v>593</v>
      </c>
      <c r="N28" s="738"/>
      <c r="O28" s="370"/>
      <c r="P28" s="185"/>
      <c r="Q28" s="185"/>
      <c r="R28" s="185"/>
      <c r="S28" s="185"/>
    </row>
    <row r="29" spans="1:19">
      <c r="A29" s="185"/>
      <c r="B29" s="702"/>
      <c r="C29" s="736" t="s">
        <v>603</v>
      </c>
      <c r="D29" s="674" t="s">
        <v>342</v>
      </c>
      <c r="E29" s="673"/>
      <c r="F29" s="673"/>
      <c r="G29" s="673"/>
      <c r="H29" s="676" t="s">
        <v>342</v>
      </c>
      <c r="I29" s="676" t="s">
        <v>342</v>
      </c>
      <c r="J29" s="676"/>
      <c r="K29" s="676" t="s">
        <v>342</v>
      </c>
      <c r="L29" s="676" t="s">
        <v>342</v>
      </c>
      <c r="M29" s="676" t="s">
        <v>342</v>
      </c>
      <c r="N29" s="738"/>
      <c r="O29" s="370"/>
      <c r="P29" s="185"/>
      <c r="Q29" s="185"/>
      <c r="R29" s="185"/>
      <c r="S29" s="185"/>
    </row>
    <row r="30" spans="1:19">
      <c r="A30" s="185"/>
      <c r="B30" s="702">
        <v>320</v>
      </c>
      <c r="C30" s="673" t="s">
        <v>595</v>
      </c>
      <c r="D30" s="920">
        <f>Data!B125</f>
        <v>444</v>
      </c>
      <c r="E30" s="738">
        <v>0</v>
      </c>
      <c r="F30" s="738">
        <v>0</v>
      </c>
      <c r="G30" s="1234">
        <v>0</v>
      </c>
      <c r="H30" s="920">
        <f t="shared" ref="H30:H35" si="5">ROUND(D30+E30-F30+G30,0)</f>
        <v>444</v>
      </c>
      <c r="I30" s="1234">
        <v>0</v>
      </c>
      <c r="J30" s="1234">
        <v>0</v>
      </c>
      <c r="K30" s="1234">
        <v>0</v>
      </c>
      <c r="L30" s="921">
        <v>0</v>
      </c>
      <c r="M30" s="920">
        <f t="shared" ref="M30:M35" si="6">H30+I30-J30+K30-L30</f>
        <v>444</v>
      </c>
      <c r="N30" s="920">
        <f t="shared" ref="N30:N35" si="7">ROUND(H30+I30-J30+(K30*0.5)-(L30*0.5),0)</f>
        <v>444</v>
      </c>
      <c r="O30" s="370"/>
      <c r="P30" s="185"/>
      <c r="Q30" s="185"/>
      <c r="R30" s="185"/>
      <c r="S30" s="185"/>
    </row>
    <row r="31" spans="1:19">
      <c r="A31" s="185"/>
      <c r="B31" s="702">
        <v>321</v>
      </c>
      <c r="C31" s="673" t="s">
        <v>596</v>
      </c>
      <c r="D31" s="674">
        <f>Data!B126</f>
        <v>5446330</v>
      </c>
      <c r="E31" s="676">
        <v>3002295</v>
      </c>
      <c r="F31" s="676">
        <v>0</v>
      </c>
      <c r="G31" s="1235">
        <v>0</v>
      </c>
      <c r="H31" s="674">
        <f t="shared" si="5"/>
        <v>8448625</v>
      </c>
      <c r="I31" s="1235">
        <v>530000</v>
      </c>
      <c r="J31" s="1235">
        <v>0</v>
      </c>
      <c r="K31" s="1235">
        <v>36571</v>
      </c>
      <c r="L31" s="672">
        <v>0</v>
      </c>
      <c r="M31" s="674">
        <f t="shared" si="6"/>
        <v>9015196</v>
      </c>
      <c r="N31" s="674">
        <f t="shared" si="7"/>
        <v>8996911</v>
      </c>
      <c r="O31" s="370"/>
      <c r="P31" s="185"/>
      <c r="Q31" s="185"/>
      <c r="R31" s="185"/>
      <c r="S31" s="185"/>
    </row>
    <row r="32" spans="1:19">
      <c r="A32" s="185"/>
      <c r="B32" s="702">
        <v>323</v>
      </c>
      <c r="C32" s="673" t="s">
        <v>604</v>
      </c>
      <c r="D32" s="674">
        <f>Data!B127</f>
        <v>46082</v>
      </c>
      <c r="E32" s="676">
        <v>507061</v>
      </c>
      <c r="F32" s="676">
        <v>0</v>
      </c>
      <c r="G32" s="1235">
        <v>0</v>
      </c>
      <c r="H32" s="674">
        <f t="shared" si="5"/>
        <v>553143</v>
      </c>
      <c r="I32" s="1235">
        <v>0</v>
      </c>
      <c r="J32" s="1235">
        <v>0</v>
      </c>
      <c r="K32" s="1235">
        <v>3344</v>
      </c>
      <c r="L32" s="672">
        <v>0</v>
      </c>
      <c r="M32" s="674">
        <f t="shared" si="6"/>
        <v>556487</v>
      </c>
      <c r="N32" s="674">
        <f t="shared" si="7"/>
        <v>554815</v>
      </c>
      <c r="O32" s="370"/>
      <c r="P32" s="185"/>
      <c r="Q32" s="185"/>
      <c r="R32" s="185"/>
      <c r="S32" s="185"/>
    </row>
    <row r="33" spans="1:19">
      <c r="A33" s="185"/>
      <c r="B33" s="702">
        <v>325</v>
      </c>
      <c r="C33" s="673" t="s">
        <v>605</v>
      </c>
      <c r="D33" s="674">
        <f>Data!B128</f>
        <v>5459168</v>
      </c>
      <c r="E33" s="676">
        <v>4401146</v>
      </c>
      <c r="F33" s="676">
        <v>1006155</v>
      </c>
      <c r="G33" s="1235">
        <v>0</v>
      </c>
      <c r="H33" s="674">
        <f t="shared" si="5"/>
        <v>8854159</v>
      </c>
      <c r="I33" s="1235">
        <v>892000</v>
      </c>
      <c r="J33" s="1235">
        <v>0</v>
      </c>
      <c r="K33" s="1235">
        <v>192138</v>
      </c>
      <c r="L33" s="672">
        <v>0</v>
      </c>
      <c r="M33" s="674">
        <f t="shared" si="6"/>
        <v>9938297</v>
      </c>
      <c r="N33" s="674">
        <f t="shared" si="7"/>
        <v>9842228</v>
      </c>
      <c r="O33" s="370"/>
      <c r="P33" s="185"/>
      <c r="Q33" s="185"/>
      <c r="R33" s="185"/>
      <c r="S33" s="185"/>
    </row>
    <row r="34" spans="1:19">
      <c r="A34" s="185"/>
      <c r="B34" s="702">
        <v>326</v>
      </c>
      <c r="C34" s="673" t="s">
        <v>606</v>
      </c>
      <c r="D34" s="674">
        <f>Data!B129</f>
        <v>0</v>
      </c>
      <c r="E34" s="676">
        <v>0</v>
      </c>
      <c r="F34" s="676">
        <v>0</v>
      </c>
      <c r="G34" s="1235">
        <v>0</v>
      </c>
      <c r="H34" s="674">
        <f t="shared" si="5"/>
        <v>0</v>
      </c>
      <c r="I34" s="1235">
        <v>0</v>
      </c>
      <c r="J34" s="1235">
        <v>0</v>
      </c>
      <c r="K34" s="1235">
        <v>0</v>
      </c>
      <c r="L34" s="672">
        <v>0</v>
      </c>
      <c r="M34" s="674">
        <f t="shared" si="6"/>
        <v>0</v>
      </c>
      <c r="N34" s="674">
        <f t="shared" si="7"/>
        <v>0</v>
      </c>
      <c r="O34" s="370"/>
      <c r="P34" s="185"/>
      <c r="Q34" s="185"/>
      <c r="R34" s="185"/>
      <c r="S34" s="185"/>
    </row>
    <row r="35" spans="1:19">
      <c r="A35" s="185"/>
      <c r="B35" s="702">
        <v>328</v>
      </c>
      <c r="C35" s="673" t="s">
        <v>607</v>
      </c>
      <c r="D35" s="675">
        <f>Data!B130</f>
        <v>15559</v>
      </c>
      <c r="E35" s="922">
        <v>0</v>
      </c>
      <c r="F35" s="922">
        <v>0</v>
      </c>
      <c r="G35" s="1235">
        <v>0</v>
      </c>
      <c r="H35" s="675">
        <f t="shared" si="5"/>
        <v>15559</v>
      </c>
      <c r="I35" s="1235">
        <v>0</v>
      </c>
      <c r="J35" s="1235">
        <v>0</v>
      </c>
      <c r="K35" s="1235">
        <v>0</v>
      </c>
      <c r="L35" s="672">
        <v>0</v>
      </c>
      <c r="M35" s="674">
        <f t="shared" si="6"/>
        <v>15559</v>
      </c>
      <c r="N35" s="674">
        <f t="shared" si="7"/>
        <v>15559</v>
      </c>
      <c r="O35" s="370"/>
      <c r="P35" s="185"/>
      <c r="Q35" s="185"/>
      <c r="R35" s="185"/>
      <c r="S35" s="185"/>
    </row>
    <row r="36" spans="1:19">
      <c r="A36" s="185"/>
      <c r="B36" s="702"/>
      <c r="C36" s="673"/>
      <c r="D36" s="1036"/>
      <c r="E36" s="673"/>
      <c r="F36" s="673"/>
      <c r="G36" s="673"/>
      <c r="H36" s="673"/>
      <c r="I36" s="673"/>
      <c r="J36" s="673"/>
      <c r="K36" s="673"/>
      <c r="L36" s="673"/>
      <c r="M36" s="1012"/>
      <c r="N36" s="940"/>
      <c r="O36" s="370"/>
      <c r="P36" s="185"/>
      <c r="Q36" s="185"/>
      <c r="R36" s="185"/>
      <c r="S36" s="185"/>
    </row>
    <row r="37" spans="1:19">
      <c r="A37" s="185"/>
      <c r="B37" s="702"/>
      <c r="C37" s="673" t="s">
        <v>608</v>
      </c>
      <c r="D37" s="935">
        <f t="shared" ref="D37:N37" si="8">SUM(D30:D35)</f>
        <v>10967583</v>
      </c>
      <c r="E37" s="935">
        <f t="shared" si="8"/>
        <v>7910502</v>
      </c>
      <c r="F37" s="935">
        <f t="shared" si="8"/>
        <v>1006155</v>
      </c>
      <c r="G37" s="935">
        <f t="shared" si="8"/>
        <v>0</v>
      </c>
      <c r="H37" s="935">
        <f t="shared" si="8"/>
        <v>17871930</v>
      </c>
      <c r="I37" s="935">
        <f t="shared" si="8"/>
        <v>1422000</v>
      </c>
      <c r="J37" s="935">
        <f t="shared" si="8"/>
        <v>0</v>
      </c>
      <c r="K37" s="935">
        <f t="shared" si="8"/>
        <v>232053</v>
      </c>
      <c r="L37" s="935">
        <f t="shared" si="8"/>
        <v>0</v>
      </c>
      <c r="M37" s="935">
        <f t="shared" si="8"/>
        <v>19525983</v>
      </c>
      <c r="N37" s="935">
        <f t="shared" si="8"/>
        <v>19409957</v>
      </c>
      <c r="O37" s="370"/>
      <c r="P37" s="185"/>
      <c r="Q37" s="185"/>
      <c r="R37" s="185"/>
      <c r="S37" s="185"/>
    </row>
    <row r="38" spans="1:19">
      <c r="A38" s="185"/>
      <c r="B38" s="702"/>
      <c r="C38" s="673"/>
      <c r="D38" s="920"/>
      <c r="E38" s="738"/>
      <c r="F38" s="738"/>
      <c r="G38" s="738"/>
      <c r="H38" s="738"/>
      <c r="I38" s="738"/>
      <c r="J38" s="738"/>
      <c r="K38" s="738"/>
      <c r="L38" s="738"/>
      <c r="M38" s="738"/>
      <c r="N38" s="738"/>
      <c r="O38" s="370"/>
      <c r="P38" s="185"/>
      <c r="Q38" s="185"/>
      <c r="R38" s="185"/>
      <c r="S38" s="185"/>
    </row>
    <row r="39" spans="1:19">
      <c r="A39" s="185"/>
      <c r="B39" s="702"/>
      <c r="C39" s="736" t="s">
        <v>609</v>
      </c>
      <c r="D39" s="674" t="s">
        <v>342</v>
      </c>
      <c r="E39" s="673"/>
      <c r="F39" s="673"/>
      <c r="G39" s="673"/>
      <c r="H39" s="676" t="s">
        <v>342</v>
      </c>
      <c r="I39" s="676" t="s">
        <v>342</v>
      </c>
      <c r="J39" s="676"/>
      <c r="K39" s="676" t="s">
        <v>342</v>
      </c>
      <c r="L39" s="676" t="s">
        <v>342</v>
      </c>
      <c r="M39" s="676" t="s">
        <v>342</v>
      </c>
      <c r="N39" s="738"/>
      <c r="O39" s="370"/>
      <c r="P39" s="185"/>
      <c r="Q39" s="185"/>
      <c r="R39" s="185"/>
      <c r="S39" s="185"/>
    </row>
    <row r="40" spans="1:19">
      <c r="A40" s="185"/>
      <c r="B40" s="702">
        <v>330</v>
      </c>
      <c r="C40" s="673" t="s">
        <v>595</v>
      </c>
      <c r="D40" s="920">
        <f>Data!B131</f>
        <v>0</v>
      </c>
      <c r="E40" s="738">
        <v>0</v>
      </c>
      <c r="F40" s="738">
        <v>0</v>
      </c>
      <c r="G40" s="1234">
        <v>0</v>
      </c>
      <c r="H40" s="920">
        <f>ROUND(D40+E40-F40+G40,0)</f>
        <v>0</v>
      </c>
      <c r="I40" s="1234">
        <v>0</v>
      </c>
      <c r="J40" s="1234">
        <v>0</v>
      </c>
      <c r="K40" s="1234">
        <v>0</v>
      </c>
      <c r="L40" s="921">
        <v>0</v>
      </c>
      <c r="M40" s="920">
        <f>H40+I40-J40+K40-L40</f>
        <v>0</v>
      </c>
      <c r="N40" s="920">
        <f>ROUND(H40+I40-J40+(K40*0.5)-(L40*0.5),0)</f>
        <v>0</v>
      </c>
      <c r="O40" s="370"/>
      <c r="P40" s="185"/>
      <c r="Q40" s="185"/>
      <c r="R40" s="185"/>
      <c r="S40" s="185"/>
    </row>
    <row r="41" spans="1:19">
      <c r="A41" s="185"/>
      <c r="B41" s="702">
        <v>331</v>
      </c>
      <c r="C41" s="673" t="s">
        <v>596</v>
      </c>
      <c r="D41" s="674">
        <f>Data!B132</f>
        <v>969631</v>
      </c>
      <c r="E41" s="676">
        <v>502000</v>
      </c>
      <c r="F41" s="676">
        <v>0</v>
      </c>
      <c r="G41" s="1235">
        <v>0</v>
      </c>
      <c r="H41" s="674">
        <f>ROUND(D41+E41-F41+G41,0)</f>
        <v>1471631</v>
      </c>
      <c r="I41" s="1235">
        <v>95000</v>
      </c>
      <c r="J41" s="1235">
        <v>0</v>
      </c>
      <c r="K41" s="1235">
        <v>0</v>
      </c>
      <c r="L41" s="672">
        <v>0</v>
      </c>
      <c r="M41" s="674">
        <f>H41+I41-J41+K41-L41</f>
        <v>1566631</v>
      </c>
      <c r="N41" s="920">
        <f>ROUND(H41+I41-J41+(K41*0.5)-(L41*0.5),0)</f>
        <v>1566631</v>
      </c>
      <c r="O41" s="370"/>
      <c r="P41" s="185"/>
      <c r="Q41" s="185"/>
      <c r="R41" s="185"/>
      <c r="S41" s="185"/>
    </row>
    <row r="42" spans="1:19">
      <c r="A42" s="185"/>
      <c r="B42" s="702">
        <v>332</v>
      </c>
      <c r="C42" s="673" t="s">
        <v>610</v>
      </c>
      <c r="D42" s="674">
        <f>Data!B133</f>
        <v>829215</v>
      </c>
      <c r="E42" s="676">
        <v>3355607</v>
      </c>
      <c r="F42" s="676">
        <v>0</v>
      </c>
      <c r="G42" s="1235">
        <v>0</v>
      </c>
      <c r="H42" s="674">
        <f>ROUND(D42+E42-F42+G42,0)</f>
        <v>4184822</v>
      </c>
      <c r="I42" s="1235">
        <v>446000</v>
      </c>
      <c r="J42" s="1235">
        <v>0</v>
      </c>
      <c r="K42" s="1235">
        <v>0</v>
      </c>
      <c r="L42" s="672">
        <v>0</v>
      </c>
      <c r="M42" s="674">
        <f>H42+I42-J42+K42-L42</f>
        <v>4630822</v>
      </c>
      <c r="N42" s="920">
        <f>ROUND(H42+I42-J42+(K42*0.5)-(L42*0.5),0)</f>
        <v>4630822</v>
      </c>
      <c r="O42" s="370"/>
      <c r="P42" s="185"/>
      <c r="Q42" s="185"/>
      <c r="R42" s="185"/>
      <c r="S42" s="185"/>
    </row>
    <row r="43" spans="1:19">
      <c r="A43" s="185"/>
      <c r="B43" s="702">
        <v>333</v>
      </c>
      <c r="C43" s="673" t="s">
        <v>611</v>
      </c>
      <c r="D43" s="674">
        <f>Data!B134</f>
        <v>0</v>
      </c>
      <c r="E43" s="676">
        <v>0</v>
      </c>
      <c r="F43" s="676">
        <v>0</v>
      </c>
      <c r="G43" s="1235">
        <v>0</v>
      </c>
      <c r="H43" s="674">
        <f>ROUND(D43+E43-F43+G43,0)</f>
        <v>0</v>
      </c>
      <c r="I43" s="1235">
        <v>0</v>
      </c>
      <c r="J43" s="1235">
        <v>0</v>
      </c>
      <c r="K43" s="1235">
        <v>0</v>
      </c>
      <c r="L43" s="672">
        <v>0</v>
      </c>
      <c r="M43" s="674">
        <f>H43+I43-J43+K43-L43</f>
        <v>0</v>
      </c>
      <c r="N43" s="920">
        <f>ROUND(H43+I43-J43+(K43*0.5)-(L43*0.5),0)</f>
        <v>0</v>
      </c>
      <c r="O43" s="370"/>
      <c r="P43" s="185"/>
      <c r="Q43" s="185"/>
      <c r="R43" s="185"/>
      <c r="S43" s="185"/>
    </row>
    <row r="44" spans="1:19">
      <c r="A44" s="185"/>
      <c r="B44" s="702">
        <v>334</v>
      </c>
      <c r="C44" s="673" t="s">
        <v>612</v>
      </c>
      <c r="D44" s="675">
        <f>Data!B135</f>
        <v>481259</v>
      </c>
      <c r="E44" s="922">
        <v>564000</v>
      </c>
      <c r="F44" s="922">
        <v>0</v>
      </c>
      <c r="G44" s="1235">
        <v>0</v>
      </c>
      <c r="H44" s="675">
        <f>ROUND(D44+E44-F44+G44,0)</f>
        <v>1045259</v>
      </c>
      <c r="I44" s="1235">
        <v>521000</v>
      </c>
      <c r="J44" s="1235">
        <v>0</v>
      </c>
      <c r="K44" s="1235">
        <v>10287</v>
      </c>
      <c r="L44" s="672">
        <v>0</v>
      </c>
      <c r="M44" s="674">
        <f>H44+I44-J44+K44-L44</f>
        <v>1576546</v>
      </c>
      <c r="N44" s="920">
        <f>ROUND(H44+I44-J44+(K44*0.5)-(L44*0.5),0)</f>
        <v>1571403</v>
      </c>
      <c r="O44" s="370"/>
      <c r="P44" s="185"/>
      <c r="Q44" s="185"/>
      <c r="R44" s="185"/>
      <c r="S44" s="185"/>
    </row>
    <row r="45" spans="1:19">
      <c r="A45" s="185"/>
      <c r="B45" s="702"/>
      <c r="C45" s="673"/>
      <c r="D45" s="940"/>
      <c r="E45" s="738"/>
      <c r="F45" s="738"/>
      <c r="G45" s="738"/>
      <c r="H45" s="738"/>
      <c r="I45" s="738"/>
      <c r="J45" s="738"/>
      <c r="K45" s="738"/>
      <c r="L45" s="738"/>
      <c r="M45" s="940"/>
      <c r="N45" s="940"/>
      <c r="O45" s="370"/>
      <c r="P45" s="185"/>
      <c r="Q45" s="185"/>
      <c r="R45" s="185"/>
      <c r="S45" s="185"/>
    </row>
    <row r="46" spans="1:19">
      <c r="A46" s="185"/>
      <c r="B46" s="702"/>
      <c r="C46" s="673" t="s">
        <v>613</v>
      </c>
      <c r="D46" s="935">
        <f t="shared" ref="D46:L46" si="9">SUM(D40:D45)</f>
        <v>2280105</v>
      </c>
      <c r="E46" s="935">
        <f t="shared" si="9"/>
        <v>4421607</v>
      </c>
      <c r="F46" s="935">
        <f t="shared" si="9"/>
        <v>0</v>
      </c>
      <c r="G46" s="935">
        <f t="shared" si="9"/>
        <v>0</v>
      </c>
      <c r="H46" s="935">
        <f t="shared" si="9"/>
        <v>6701712</v>
      </c>
      <c r="I46" s="935">
        <f t="shared" si="9"/>
        <v>1062000</v>
      </c>
      <c r="J46" s="935">
        <f t="shared" si="9"/>
        <v>0</v>
      </c>
      <c r="K46" s="935">
        <f t="shared" si="9"/>
        <v>10287</v>
      </c>
      <c r="L46" s="935">
        <f t="shared" si="9"/>
        <v>0</v>
      </c>
      <c r="M46" s="935">
        <f>SUM(M40:M45)</f>
        <v>7773999</v>
      </c>
      <c r="N46" s="935">
        <f>SUM(N40:N44)</f>
        <v>7768856</v>
      </c>
      <c r="O46" s="370"/>
      <c r="P46" s="185"/>
      <c r="Q46" s="185"/>
      <c r="R46" s="185"/>
      <c r="S46" s="185"/>
    </row>
    <row r="47" spans="1:19" ht="24" customHeight="1" thickBot="1">
      <c r="A47" s="185"/>
      <c r="B47" s="704"/>
      <c r="C47" s="705"/>
      <c r="D47" s="1030"/>
      <c r="E47" s="1030"/>
      <c r="F47" s="1030"/>
      <c r="G47" s="1030"/>
      <c r="H47" s="1030"/>
      <c r="I47" s="1030"/>
      <c r="J47" s="1030"/>
      <c r="K47" s="1030"/>
      <c r="L47" s="1030"/>
      <c r="M47" s="1030"/>
      <c r="N47" s="1030"/>
      <c r="O47" s="386"/>
      <c r="P47" s="185"/>
      <c r="Q47" s="185"/>
      <c r="R47" s="185"/>
      <c r="S47" s="185"/>
    </row>
    <row r="48" spans="1:19" ht="13.5" thickTop="1">
      <c r="A48" s="185"/>
      <c r="B48" s="720"/>
      <c r="C48" s="186"/>
      <c r="D48" s="186"/>
      <c r="E48" s="186"/>
      <c r="F48" s="186"/>
      <c r="G48" s="186"/>
      <c r="H48" s="186"/>
      <c r="I48" s="186"/>
      <c r="J48" s="186"/>
      <c r="K48" s="186"/>
      <c r="L48" s="186"/>
      <c r="M48" s="186"/>
      <c r="N48" s="659"/>
      <c r="O48" s="185"/>
      <c r="P48" s="185"/>
      <c r="Q48" s="185"/>
      <c r="R48" s="185"/>
      <c r="S48" s="185"/>
    </row>
    <row r="49" spans="1:19">
      <c r="A49" s="185"/>
      <c r="B49" s="724" t="str">
        <f>B1</f>
        <v>2015 Test Year</v>
      </c>
      <c r="C49" s="665"/>
      <c r="D49" s="1942" t="str">
        <f>Utility</f>
        <v>MADISON WATER UTILITY</v>
      </c>
      <c r="E49" s="1944"/>
      <c r="F49" s="1944"/>
      <c r="G49" s="1944"/>
      <c r="H49" s="1944"/>
      <c r="I49" s="1944"/>
      <c r="J49" s="1944"/>
      <c r="K49" s="1944"/>
      <c r="L49" s="1944"/>
      <c r="M49" s="665"/>
      <c r="N49" s="666" t="s">
        <v>573</v>
      </c>
      <c r="O49" s="185"/>
      <c r="P49" s="185"/>
      <c r="Q49" s="185"/>
      <c r="R49" s="185"/>
      <c r="S49" s="185"/>
    </row>
    <row r="50" spans="1:19">
      <c r="A50" s="185"/>
      <c r="B50" s="667"/>
      <c r="C50" s="667"/>
      <c r="D50" s="671"/>
      <c r="E50" s="671"/>
      <c r="F50" s="671"/>
      <c r="G50" s="671"/>
      <c r="H50" s="671"/>
      <c r="I50" s="671"/>
      <c r="J50" s="671"/>
      <c r="K50" s="822"/>
      <c r="L50" s="822"/>
      <c r="M50" s="667"/>
      <c r="N50" s="666" t="s">
        <v>552</v>
      </c>
      <c r="O50" s="185"/>
      <c r="P50" s="185"/>
      <c r="Q50" s="185"/>
      <c r="R50" s="185"/>
      <c r="S50" s="185"/>
    </row>
    <row r="51" spans="1:19">
      <c r="A51" s="185"/>
      <c r="B51" s="667"/>
      <c r="C51" s="665"/>
      <c r="D51" s="2014" t="s">
        <v>574</v>
      </c>
      <c r="E51" s="2015"/>
      <c r="F51" s="2015"/>
      <c r="G51" s="2015"/>
      <c r="H51" s="2015"/>
      <c r="I51" s="2015"/>
      <c r="J51" s="2015"/>
      <c r="K51" s="2015"/>
      <c r="L51" s="2015"/>
      <c r="M51" s="665"/>
      <c r="N51" s="1014"/>
      <c r="O51" s="185"/>
      <c r="P51" s="185"/>
      <c r="Q51" s="185"/>
      <c r="R51" s="185"/>
      <c r="S51" s="185"/>
    </row>
    <row r="52" spans="1:19">
      <c r="A52" s="185"/>
      <c r="B52" s="776"/>
      <c r="C52" s="776"/>
      <c r="D52" s="2014" t="str">
        <f>"Estimated for Test Year "&amp; TestYear</f>
        <v>Estimated for Test Year 2015</v>
      </c>
      <c r="E52" s="2015"/>
      <c r="F52" s="2015"/>
      <c r="G52" s="2015"/>
      <c r="H52" s="2015"/>
      <c r="I52" s="2015"/>
      <c r="J52" s="2015"/>
      <c r="K52" s="2015"/>
      <c r="L52" s="2015"/>
      <c r="M52" s="776"/>
      <c r="N52" s="1014"/>
      <c r="O52" s="185"/>
      <c r="P52" s="185"/>
      <c r="Q52" s="185"/>
      <c r="R52" s="185"/>
      <c r="S52" s="185"/>
    </row>
    <row r="53" spans="1:19" ht="13.5" thickBot="1">
      <c r="A53" s="185"/>
      <c r="B53" s="667"/>
      <c r="C53" s="665"/>
      <c r="D53" s="1942" t="str">
        <f>D6</f>
        <v>Utility or Municipal Financed Transactions Only</v>
      </c>
      <c r="E53" s="2015"/>
      <c r="F53" s="2015"/>
      <c r="G53" s="2015"/>
      <c r="H53" s="2015"/>
      <c r="I53" s="2015"/>
      <c r="J53" s="2015"/>
      <c r="K53" s="2015"/>
      <c r="L53" s="2015"/>
      <c r="M53" s="665"/>
      <c r="N53" s="1014"/>
      <c r="O53" s="185"/>
      <c r="P53" s="185"/>
      <c r="Q53" s="185"/>
      <c r="R53" s="185"/>
      <c r="S53" s="185"/>
    </row>
    <row r="54" spans="1:19" ht="13.5" thickTop="1">
      <c r="A54" s="185"/>
      <c r="B54" s="1031"/>
      <c r="C54" s="951" t="s">
        <v>527</v>
      </c>
      <c r="D54" s="952"/>
      <c r="E54" s="2018" t="str">
        <f>E7</f>
        <v>Estimated 2014</v>
      </c>
      <c r="F54" s="2019"/>
      <c r="G54" s="1024"/>
      <c r="H54" s="956" t="str">
        <f>H7</f>
        <v>Estimated</v>
      </c>
      <c r="I54" s="2022" t="str">
        <f>I7</f>
        <v>Estimate 2015</v>
      </c>
      <c r="J54" s="2022"/>
      <c r="K54" s="2022"/>
      <c r="L54" s="2022"/>
      <c r="M54" s="952"/>
      <c r="N54" s="952" t="s">
        <v>396</v>
      </c>
      <c r="O54" s="368"/>
      <c r="P54" s="185"/>
      <c r="Q54" s="185"/>
      <c r="R54" s="185"/>
      <c r="S54" s="185"/>
    </row>
    <row r="55" spans="1:19">
      <c r="A55" s="185"/>
      <c r="B55" s="702" t="s">
        <v>528</v>
      </c>
      <c r="C55" s="677"/>
      <c r="D55" s="945" t="str">
        <f>D7</f>
        <v>Actual</v>
      </c>
      <c r="E55" s="2020"/>
      <c r="F55" s="2020"/>
      <c r="G55" s="1003"/>
      <c r="H55" s="804" t="s">
        <v>579</v>
      </c>
      <c r="I55" s="2023" t="s">
        <v>580</v>
      </c>
      <c r="J55" s="2024"/>
      <c r="K55" s="2023" t="s">
        <v>581</v>
      </c>
      <c r="L55" s="2024"/>
      <c r="M55" s="945" t="str">
        <f>M7</f>
        <v>Estimated</v>
      </c>
      <c r="N55" s="945" t="s">
        <v>256</v>
      </c>
      <c r="O55" s="370"/>
      <c r="P55" s="185"/>
      <c r="Q55" s="185"/>
      <c r="R55" s="185"/>
      <c r="S55" s="185"/>
    </row>
    <row r="56" spans="1:19">
      <c r="A56" s="185"/>
      <c r="B56" s="702" t="s">
        <v>529</v>
      </c>
      <c r="C56" s="945" t="s">
        <v>576</v>
      </c>
      <c r="D56" s="1008" t="s">
        <v>579</v>
      </c>
      <c r="E56" s="864" t="s">
        <v>582</v>
      </c>
      <c r="F56" s="865" t="s">
        <v>583</v>
      </c>
      <c r="G56" s="803" t="s">
        <v>584</v>
      </c>
      <c r="H56" s="804" t="str">
        <f>H9</f>
        <v>12/31/2014</v>
      </c>
      <c r="I56" s="865" t="s">
        <v>582</v>
      </c>
      <c r="J56" s="864" t="s">
        <v>583</v>
      </c>
      <c r="K56" s="864" t="s">
        <v>582</v>
      </c>
      <c r="L56" s="864" t="s">
        <v>583</v>
      </c>
      <c r="M56" s="803" t="s">
        <v>579</v>
      </c>
      <c r="N56" s="945" t="s">
        <v>585</v>
      </c>
      <c r="O56" s="370"/>
      <c r="P56" s="185"/>
      <c r="Q56" s="185"/>
      <c r="R56" s="185"/>
      <c r="S56" s="185"/>
    </row>
    <row r="57" spans="1:19" ht="17.25" customHeight="1">
      <c r="A57" s="185"/>
      <c r="B57" s="1032"/>
      <c r="C57" s="1018"/>
      <c r="D57" s="1159" t="str">
        <f>D9</f>
        <v>12/31/2013</v>
      </c>
      <c r="E57" s="1020" t="str">
        <f>E10</f>
        <v>Notes (A,B)</v>
      </c>
      <c r="F57" s="1020" t="str">
        <f>F10</f>
        <v>Note (B)</v>
      </c>
      <c r="G57" s="1020"/>
      <c r="H57" s="1019"/>
      <c r="I57" s="1020" t="str">
        <f>I10</f>
        <v>Notes (A,B)</v>
      </c>
      <c r="J57" s="1020" t="str">
        <f>J10</f>
        <v>Note (B)</v>
      </c>
      <c r="K57" s="1020" t="str">
        <f>K10</f>
        <v>Notes (A,B)</v>
      </c>
      <c r="L57" s="1020" t="str">
        <f>L10</f>
        <v>Note (B)</v>
      </c>
      <c r="M57" s="1010" t="str">
        <f>M9</f>
        <v>12/31/2015</v>
      </c>
      <c r="N57" s="858"/>
      <c r="O57" s="370"/>
      <c r="P57" s="185"/>
      <c r="Q57" s="185"/>
      <c r="R57" s="185"/>
      <c r="S57" s="185"/>
    </row>
    <row r="58" spans="1:19" ht="17.25" customHeight="1">
      <c r="A58" s="185"/>
      <c r="B58" s="700"/>
      <c r="C58" s="736" t="s">
        <v>614</v>
      </c>
      <c r="D58" s="676" t="s">
        <v>342</v>
      </c>
      <c r="E58" s="673"/>
      <c r="F58" s="673"/>
      <c r="G58" s="673"/>
      <c r="H58" s="676" t="s">
        <v>342</v>
      </c>
      <c r="I58" s="676"/>
      <c r="J58" s="676"/>
      <c r="K58" s="676" t="s">
        <v>342</v>
      </c>
      <c r="L58" s="676" t="s">
        <v>342</v>
      </c>
      <c r="M58" s="676" t="s">
        <v>342</v>
      </c>
      <c r="N58" s="738"/>
      <c r="O58" s="370"/>
      <c r="P58" s="185"/>
      <c r="Q58" s="185"/>
      <c r="R58" s="185"/>
      <c r="S58" s="185"/>
    </row>
    <row r="59" spans="1:19" ht="17.25" customHeight="1">
      <c r="A59" s="185"/>
      <c r="B59" s="702">
        <v>340</v>
      </c>
      <c r="C59" s="673" t="s">
        <v>595</v>
      </c>
      <c r="D59" s="920">
        <f>Data!B136</f>
        <v>563497</v>
      </c>
      <c r="E59" s="738">
        <v>0</v>
      </c>
      <c r="F59" s="738">
        <v>0</v>
      </c>
      <c r="G59" s="1234">
        <v>0</v>
      </c>
      <c r="H59" s="920">
        <f>ROUND(D59+E59-F59+G59,0)</f>
        <v>563497</v>
      </c>
      <c r="I59" s="1234">
        <v>0</v>
      </c>
      <c r="J59" s="1234">
        <v>0</v>
      </c>
      <c r="K59" s="1234">
        <v>0</v>
      </c>
      <c r="L59" s="1234">
        <v>0</v>
      </c>
      <c r="M59" s="920">
        <f t="shared" ref="M59:M66" si="10">H59+I59-J59+K59-L59</f>
        <v>563497</v>
      </c>
      <c r="N59" s="920">
        <f t="shared" ref="N59:N66" si="11">ROUND(H59+I59-J59+(K59*0.5)-(L59*0.5),0)</f>
        <v>563497</v>
      </c>
      <c r="O59" s="370"/>
      <c r="P59" s="185"/>
      <c r="Q59" s="185"/>
      <c r="R59" s="185"/>
      <c r="S59" s="185"/>
    </row>
    <row r="60" spans="1:19">
      <c r="A60" s="185"/>
      <c r="B60" s="702">
        <v>341</v>
      </c>
      <c r="C60" s="673" t="s">
        <v>596</v>
      </c>
      <c r="D60" s="674">
        <f>Data!B137</f>
        <v>684623</v>
      </c>
      <c r="E60" s="676">
        <v>0</v>
      </c>
      <c r="F60" s="676">
        <v>0</v>
      </c>
      <c r="G60" s="1235">
        <v>0</v>
      </c>
      <c r="H60" s="674">
        <f>ROUND(D60+E60-F60+G60,0)</f>
        <v>684623</v>
      </c>
      <c r="I60" s="1235">
        <v>0</v>
      </c>
      <c r="J60" s="1235">
        <v>0</v>
      </c>
      <c r="K60" s="1235">
        <v>0</v>
      </c>
      <c r="L60" s="1235">
        <v>0</v>
      </c>
      <c r="M60" s="674">
        <f t="shared" si="10"/>
        <v>684623</v>
      </c>
      <c r="N60" s="674">
        <f t="shared" si="11"/>
        <v>684623</v>
      </c>
      <c r="O60" s="370"/>
      <c r="P60" s="185"/>
      <c r="Q60" s="185"/>
      <c r="R60" s="185"/>
      <c r="S60" s="185"/>
    </row>
    <row r="61" spans="1:19">
      <c r="A61" s="185"/>
      <c r="B61" s="702">
        <v>342</v>
      </c>
      <c r="C61" s="673" t="s">
        <v>615</v>
      </c>
      <c r="D61" s="674">
        <f>Data!B138</f>
        <v>6053505</v>
      </c>
      <c r="E61" s="676">
        <v>1370537</v>
      </c>
      <c r="F61" s="676">
        <v>0</v>
      </c>
      <c r="G61" s="1235">
        <v>0</v>
      </c>
      <c r="H61" s="674">
        <f t="shared" ref="H61:H66" si="12">ROUND(D61+E61-F61+G61,0)</f>
        <v>7424042</v>
      </c>
      <c r="I61" s="1235">
        <v>0</v>
      </c>
      <c r="J61" s="1235">
        <v>0</v>
      </c>
      <c r="K61" s="1235">
        <v>208654</v>
      </c>
      <c r="L61" s="1235">
        <v>0</v>
      </c>
      <c r="M61" s="674">
        <f t="shared" si="10"/>
        <v>7632696</v>
      </c>
      <c r="N61" s="674">
        <f t="shared" si="11"/>
        <v>7528369</v>
      </c>
      <c r="O61" s="370"/>
      <c r="P61" s="185"/>
      <c r="Q61" s="185"/>
      <c r="R61" s="185"/>
      <c r="S61" s="185"/>
    </row>
    <row r="62" spans="1:19">
      <c r="A62" s="185"/>
      <c r="B62" s="702">
        <v>343</v>
      </c>
      <c r="C62" s="673" t="s">
        <v>616</v>
      </c>
      <c r="D62" s="674">
        <f>Data!B139</f>
        <v>68780112</v>
      </c>
      <c r="E62" s="676">
        <v>10497044</v>
      </c>
      <c r="F62" s="676">
        <v>149333</v>
      </c>
      <c r="G62" s="1235">
        <v>13291211</v>
      </c>
      <c r="H62" s="674">
        <f t="shared" si="12"/>
        <v>92419034</v>
      </c>
      <c r="I62" s="1235">
        <v>1258000</v>
      </c>
      <c r="J62" s="1235">
        <v>0</v>
      </c>
      <c r="K62" s="1235">
        <v>6528792</v>
      </c>
      <c r="L62" s="1235">
        <v>51503</v>
      </c>
      <c r="M62" s="674">
        <f t="shared" si="10"/>
        <v>100154323</v>
      </c>
      <c r="N62" s="674">
        <f t="shared" si="11"/>
        <v>96915679</v>
      </c>
      <c r="O62" s="370"/>
      <c r="P62" s="185"/>
      <c r="Q62" s="185"/>
      <c r="R62" s="185"/>
      <c r="S62" s="185"/>
    </row>
    <row r="63" spans="1:19">
      <c r="A63" s="185"/>
      <c r="B63" s="702">
        <v>345</v>
      </c>
      <c r="C63" s="673" t="s">
        <v>617</v>
      </c>
      <c r="D63" s="674">
        <f>Data!B140</f>
        <v>18062655</v>
      </c>
      <c r="E63" s="676">
        <v>864724</v>
      </c>
      <c r="F63" s="676">
        <v>58382</v>
      </c>
      <c r="G63" s="1235">
        <v>152191</v>
      </c>
      <c r="H63" s="674">
        <f t="shared" si="12"/>
        <v>19021188</v>
      </c>
      <c r="I63" s="1235">
        <v>0</v>
      </c>
      <c r="J63" s="1235">
        <v>0</v>
      </c>
      <c r="K63" s="1235">
        <v>345629</v>
      </c>
      <c r="L63" s="1235">
        <v>20135</v>
      </c>
      <c r="M63" s="674">
        <f t="shared" si="10"/>
        <v>19346682</v>
      </c>
      <c r="N63" s="674">
        <f t="shared" si="11"/>
        <v>19183935</v>
      </c>
      <c r="O63" s="370"/>
      <c r="P63" s="185"/>
      <c r="Q63" s="185"/>
      <c r="R63" s="185"/>
      <c r="S63" s="185"/>
    </row>
    <row r="64" spans="1:19">
      <c r="A64" s="185"/>
      <c r="B64" s="702">
        <v>346</v>
      </c>
      <c r="C64" s="673" t="s">
        <v>618</v>
      </c>
      <c r="D64" s="674">
        <f>Data!B141</f>
        <v>16623802</v>
      </c>
      <c r="E64" s="676">
        <v>201686</v>
      </c>
      <c r="F64" s="676">
        <v>0</v>
      </c>
      <c r="G64" s="1235">
        <v>0</v>
      </c>
      <c r="H64" s="674">
        <f t="shared" si="12"/>
        <v>16825488</v>
      </c>
      <c r="I64" s="1235">
        <v>0</v>
      </c>
      <c r="J64" s="1235">
        <v>0</v>
      </c>
      <c r="K64" s="1235">
        <v>0</v>
      </c>
      <c r="L64" s="1235">
        <v>1867</v>
      </c>
      <c r="M64" s="674">
        <f t="shared" si="10"/>
        <v>16823621</v>
      </c>
      <c r="N64" s="674">
        <f t="shared" si="11"/>
        <v>16824555</v>
      </c>
      <c r="O64" s="370"/>
      <c r="P64" s="185"/>
      <c r="Q64" s="185"/>
      <c r="R64" s="185"/>
      <c r="S64" s="185"/>
    </row>
    <row r="65" spans="1:19">
      <c r="A65" s="185"/>
      <c r="B65" s="702">
        <v>348</v>
      </c>
      <c r="C65" s="673" t="s">
        <v>338</v>
      </c>
      <c r="D65" s="674">
        <f>Data!B142</f>
        <v>8447249</v>
      </c>
      <c r="E65" s="676">
        <v>1241682</v>
      </c>
      <c r="F65" s="676">
        <v>43722</v>
      </c>
      <c r="G65" s="1235">
        <v>223472</v>
      </c>
      <c r="H65" s="674">
        <f t="shared" si="12"/>
        <v>9868681</v>
      </c>
      <c r="I65" s="1235">
        <v>0</v>
      </c>
      <c r="J65" s="1235">
        <v>0</v>
      </c>
      <c r="K65" s="1235">
        <v>346607</v>
      </c>
      <c r="L65" s="1235">
        <v>15079</v>
      </c>
      <c r="M65" s="674">
        <f t="shared" si="10"/>
        <v>10200209</v>
      </c>
      <c r="N65" s="674">
        <f t="shared" si="11"/>
        <v>10034445</v>
      </c>
      <c r="O65" s="370"/>
      <c r="P65" s="185"/>
      <c r="Q65" s="185"/>
      <c r="R65" s="185"/>
      <c r="S65" s="185"/>
    </row>
    <row r="66" spans="1:19">
      <c r="A66" s="185"/>
      <c r="B66" s="702">
        <v>349</v>
      </c>
      <c r="C66" s="673" t="s">
        <v>619</v>
      </c>
      <c r="D66" s="1034">
        <f>Data!B143</f>
        <v>13666875</v>
      </c>
      <c r="E66" s="1011">
        <v>0</v>
      </c>
      <c r="F66" s="1011">
        <v>0</v>
      </c>
      <c r="G66" s="1235">
        <v>-13666874</v>
      </c>
      <c r="H66" s="675">
        <f t="shared" si="12"/>
        <v>1</v>
      </c>
      <c r="I66" s="1235">
        <v>0</v>
      </c>
      <c r="J66" s="1235">
        <v>0</v>
      </c>
      <c r="K66" s="1235">
        <v>0</v>
      </c>
      <c r="L66" s="1235">
        <v>0</v>
      </c>
      <c r="M66" s="674">
        <f t="shared" si="10"/>
        <v>1</v>
      </c>
      <c r="N66" s="674">
        <f t="shared" si="11"/>
        <v>1</v>
      </c>
      <c r="O66" s="370"/>
      <c r="P66" s="185"/>
      <c r="Q66" s="185"/>
      <c r="R66" s="185"/>
      <c r="S66" s="185"/>
    </row>
    <row r="67" spans="1:19" ht="15.75" customHeight="1">
      <c r="A67" s="185"/>
      <c r="B67" s="702"/>
      <c r="C67" s="673"/>
      <c r="D67" s="1036"/>
      <c r="E67" s="673"/>
      <c r="F67" s="673"/>
      <c r="G67" s="673"/>
      <c r="H67" s="673"/>
      <c r="I67" s="673"/>
      <c r="J67" s="673"/>
      <c r="K67" s="673"/>
      <c r="L67" s="673"/>
      <c r="M67" s="1012"/>
      <c r="N67" s="940"/>
      <c r="O67" s="370"/>
      <c r="P67" s="185"/>
      <c r="Q67" s="185"/>
      <c r="R67" s="185"/>
      <c r="S67" s="185"/>
    </row>
    <row r="68" spans="1:19" ht="15.75" customHeight="1">
      <c r="A68" s="185"/>
      <c r="B68" s="702"/>
      <c r="C68" s="673" t="s">
        <v>620</v>
      </c>
      <c r="D68" s="935">
        <f t="shared" ref="D68:M68" si="13">SUM(D59:D66)</f>
        <v>132882318</v>
      </c>
      <c r="E68" s="935">
        <f t="shared" si="13"/>
        <v>14175673</v>
      </c>
      <c r="F68" s="935">
        <f t="shared" si="13"/>
        <v>251437</v>
      </c>
      <c r="G68" s="935">
        <f t="shared" si="13"/>
        <v>0</v>
      </c>
      <c r="H68" s="935">
        <f t="shared" si="13"/>
        <v>146806554</v>
      </c>
      <c r="I68" s="935">
        <f t="shared" si="13"/>
        <v>1258000</v>
      </c>
      <c r="J68" s="935">
        <f>SUM(J59:J66)</f>
        <v>0</v>
      </c>
      <c r="K68" s="935">
        <f t="shared" si="13"/>
        <v>7429682</v>
      </c>
      <c r="L68" s="935">
        <f t="shared" si="13"/>
        <v>88584</v>
      </c>
      <c r="M68" s="935">
        <f t="shared" si="13"/>
        <v>155405652</v>
      </c>
      <c r="N68" s="935">
        <f>SUM(N59:N66)</f>
        <v>151735104</v>
      </c>
      <c r="O68" s="370"/>
      <c r="P68" s="185"/>
      <c r="Q68" s="185"/>
      <c r="R68" s="185"/>
      <c r="S68" s="185"/>
    </row>
    <row r="69" spans="1:19">
      <c r="A69" s="185"/>
      <c r="B69" s="702"/>
      <c r="C69" s="673"/>
      <c r="D69" s="674" t="s">
        <v>593</v>
      </c>
      <c r="E69" s="673" t="s">
        <v>593</v>
      </c>
      <c r="F69" s="673" t="s">
        <v>593</v>
      </c>
      <c r="G69" s="673"/>
      <c r="H69" s="673" t="s">
        <v>593</v>
      </c>
      <c r="I69" s="673" t="s">
        <v>593</v>
      </c>
      <c r="J69" s="673" t="s">
        <v>593</v>
      </c>
      <c r="K69" s="673" t="s">
        <v>593</v>
      </c>
      <c r="L69" s="673" t="s">
        <v>593</v>
      </c>
      <c r="M69" s="673" t="s">
        <v>593</v>
      </c>
      <c r="N69" s="738"/>
      <c r="O69" s="370"/>
      <c r="P69" s="185"/>
      <c r="Q69" s="185"/>
      <c r="R69" s="185"/>
      <c r="S69" s="185"/>
    </row>
    <row r="70" spans="1:19">
      <c r="A70" s="185"/>
      <c r="B70" s="702"/>
      <c r="C70" s="673"/>
      <c r="D70" s="719"/>
      <c r="E70" s="673"/>
      <c r="F70" s="673"/>
      <c r="G70" s="673"/>
      <c r="H70" s="673"/>
      <c r="I70" s="673"/>
      <c r="J70" s="673"/>
      <c r="K70" s="673"/>
      <c r="L70" s="673"/>
      <c r="M70" s="673"/>
      <c r="N70" s="738"/>
      <c r="O70" s="370"/>
      <c r="P70" s="185"/>
      <c r="Q70" s="185"/>
      <c r="R70" s="185"/>
      <c r="S70" s="185"/>
    </row>
    <row r="71" spans="1:19">
      <c r="A71" s="185"/>
      <c r="B71" s="702"/>
      <c r="C71" s="736" t="s">
        <v>621</v>
      </c>
      <c r="D71" s="674" t="s">
        <v>342</v>
      </c>
      <c r="E71" s="673"/>
      <c r="F71" s="673"/>
      <c r="G71" s="673"/>
      <c r="H71" s="676" t="s">
        <v>342</v>
      </c>
      <c r="I71" s="676" t="s">
        <v>342</v>
      </c>
      <c r="J71" s="676" t="s">
        <v>342</v>
      </c>
      <c r="K71" s="676" t="s">
        <v>342</v>
      </c>
      <c r="L71" s="676" t="s">
        <v>342</v>
      </c>
      <c r="M71" s="676" t="s">
        <v>342</v>
      </c>
      <c r="N71" s="738"/>
      <c r="O71" s="370"/>
      <c r="P71" s="185"/>
      <c r="Q71" s="185"/>
      <c r="R71" s="185"/>
      <c r="S71" s="185"/>
    </row>
    <row r="72" spans="1:19">
      <c r="A72" s="185"/>
      <c r="B72" s="702">
        <v>389</v>
      </c>
      <c r="C72" s="673" t="s">
        <v>595</v>
      </c>
      <c r="D72" s="920">
        <f>Data!B144</f>
        <v>874901</v>
      </c>
      <c r="E72" s="738">
        <v>133750</v>
      </c>
      <c r="F72" s="738">
        <v>0</v>
      </c>
      <c r="G72" s="1234">
        <v>0</v>
      </c>
      <c r="H72" s="920">
        <f>ROUND(D72+E72-F72+G72,0)</f>
        <v>1008651</v>
      </c>
      <c r="I72" s="1234">
        <v>0</v>
      </c>
      <c r="J72" s="1234">
        <v>0</v>
      </c>
      <c r="K72" s="1234">
        <v>0</v>
      </c>
      <c r="L72" s="1234">
        <v>0</v>
      </c>
      <c r="M72" s="920">
        <f>H72+I72-J72+K72-L72</f>
        <v>1008651</v>
      </c>
      <c r="N72" s="920">
        <f t="shared" ref="N72:N80" si="14">ROUND(H72+I72-J72+(K72*0.5)-(L72*0.5),0)</f>
        <v>1008651</v>
      </c>
      <c r="O72" s="370"/>
      <c r="P72" s="185"/>
      <c r="Q72" s="185"/>
      <c r="R72" s="185"/>
      <c r="S72" s="185"/>
    </row>
    <row r="73" spans="1:19">
      <c r="A73" s="185"/>
      <c r="B73" s="702">
        <v>390</v>
      </c>
      <c r="C73" s="673" t="s">
        <v>596</v>
      </c>
      <c r="D73" s="674">
        <f>Data!B145</f>
        <v>10384402</v>
      </c>
      <c r="E73" s="676">
        <v>256800</v>
      </c>
      <c r="F73" s="676">
        <v>27016</v>
      </c>
      <c r="G73" s="1235">
        <v>0</v>
      </c>
      <c r="H73" s="674">
        <f>ROUND(D73+E73-F73+G73,0)</f>
        <v>10614186</v>
      </c>
      <c r="I73" s="1235">
        <v>0</v>
      </c>
      <c r="J73" s="1235">
        <v>0</v>
      </c>
      <c r="K73" s="1235">
        <v>36864</v>
      </c>
      <c r="L73" s="1235">
        <v>0</v>
      </c>
      <c r="M73" s="674">
        <f>H73+I73-J73+K73-L73</f>
        <v>10651050</v>
      </c>
      <c r="N73" s="674">
        <f t="shared" si="14"/>
        <v>10632618</v>
      </c>
      <c r="O73" s="370"/>
      <c r="P73" s="185"/>
      <c r="Q73" s="185"/>
      <c r="R73" s="185"/>
      <c r="S73" s="185"/>
    </row>
    <row r="74" spans="1:19">
      <c r="A74" s="185"/>
      <c r="B74" s="702">
        <v>391</v>
      </c>
      <c r="C74" s="673" t="s">
        <v>622</v>
      </c>
      <c r="D74" s="674">
        <f>Data!B146</f>
        <v>409636</v>
      </c>
      <c r="E74" s="676">
        <v>0</v>
      </c>
      <c r="F74" s="676">
        <v>0</v>
      </c>
      <c r="G74" s="1235">
        <v>0</v>
      </c>
      <c r="H74" s="674">
        <f t="shared" ref="H74:H83" si="15">ROUND(D74+E74-F74+G74,0)</f>
        <v>409636</v>
      </c>
      <c r="I74" s="1235">
        <v>0</v>
      </c>
      <c r="J74" s="1235">
        <v>0</v>
      </c>
      <c r="K74" s="1235">
        <v>0</v>
      </c>
      <c r="L74" s="1235">
        <v>0</v>
      </c>
      <c r="M74" s="674">
        <f t="shared" ref="M74:M80" si="16">H74+I74-J74+K74-L74</f>
        <v>409636</v>
      </c>
      <c r="N74" s="674">
        <f t="shared" si="14"/>
        <v>409636</v>
      </c>
      <c r="O74" s="370"/>
      <c r="P74" s="185"/>
      <c r="Q74" s="185"/>
      <c r="R74" s="185"/>
      <c r="S74" s="185"/>
    </row>
    <row r="75" spans="1:19">
      <c r="A75" s="185"/>
      <c r="B75" s="702">
        <v>391.1</v>
      </c>
      <c r="C75" s="673" t="s">
        <v>623</v>
      </c>
      <c r="D75" s="674">
        <f>Data!B147</f>
        <v>1316789</v>
      </c>
      <c r="E75" s="676">
        <v>0</v>
      </c>
      <c r="F75" s="676">
        <v>0</v>
      </c>
      <c r="G75" s="1235">
        <v>0</v>
      </c>
      <c r="H75" s="674">
        <f t="shared" si="15"/>
        <v>1316789</v>
      </c>
      <c r="I75" s="1235">
        <v>0</v>
      </c>
      <c r="J75" s="1235">
        <v>0</v>
      </c>
      <c r="K75" s="1235">
        <v>0</v>
      </c>
      <c r="L75" s="1235">
        <v>0</v>
      </c>
      <c r="M75" s="674">
        <f t="shared" si="16"/>
        <v>1316789</v>
      </c>
      <c r="N75" s="674">
        <f t="shared" si="14"/>
        <v>1316789</v>
      </c>
      <c r="O75" s="370"/>
      <c r="P75" s="185"/>
      <c r="Q75" s="185"/>
      <c r="R75" s="185"/>
      <c r="S75" s="185"/>
    </row>
    <row r="76" spans="1:19">
      <c r="A76" s="185"/>
      <c r="B76" s="702">
        <v>392</v>
      </c>
      <c r="C76" s="673" t="s">
        <v>624</v>
      </c>
      <c r="D76" s="674">
        <f>Data!B148</f>
        <v>3192288</v>
      </c>
      <c r="E76" s="676">
        <v>205133</v>
      </c>
      <c r="F76" s="676">
        <v>0</v>
      </c>
      <c r="G76" s="1235">
        <v>0</v>
      </c>
      <c r="H76" s="674">
        <f t="shared" si="15"/>
        <v>3397421</v>
      </c>
      <c r="I76" s="1235">
        <v>0</v>
      </c>
      <c r="J76" s="1235">
        <v>0</v>
      </c>
      <c r="K76" s="1235">
        <v>0</v>
      </c>
      <c r="L76" s="1235">
        <v>0</v>
      </c>
      <c r="M76" s="674">
        <f t="shared" si="16"/>
        <v>3397421</v>
      </c>
      <c r="N76" s="674">
        <f t="shared" si="14"/>
        <v>3397421</v>
      </c>
      <c r="O76" s="370"/>
      <c r="P76" s="185"/>
      <c r="Q76" s="185"/>
      <c r="R76" s="185"/>
      <c r="S76" s="185"/>
    </row>
    <row r="77" spans="1:19">
      <c r="A77" s="185"/>
      <c r="B77" s="702">
        <v>393</v>
      </c>
      <c r="C77" s="673" t="s">
        <v>625</v>
      </c>
      <c r="D77" s="674">
        <f>Data!B149</f>
        <v>47255</v>
      </c>
      <c r="E77" s="676">
        <v>0</v>
      </c>
      <c r="F77" s="676">
        <v>0</v>
      </c>
      <c r="G77" s="1235">
        <v>0</v>
      </c>
      <c r="H77" s="674">
        <f t="shared" si="15"/>
        <v>47255</v>
      </c>
      <c r="I77" s="1235">
        <v>0</v>
      </c>
      <c r="J77" s="1235">
        <v>0</v>
      </c>
      <c r="K77" s="1235">
        <v>0</v>
      </c>
      <c r="L77" s="1235">
        <v>0</v>
      </c>
      <c r="M77" s="674">
        <f t="shared" si="16"/>
        <v>47255</v>
      </c>
      <c r="N77" s="674">
        <f t="shared" si="14"/>
        <v>47255</v>
      </c>
      <c r="O77" s="370"/>
      <c r="P77" s="185"/>
      <c r="Q77" s="185"/>
      <c r="R77" s="185"/>
      <c r="S77" s="185"/>
    </row>
    <row r="78" spans="1:19">
      <c r="A78" s="185"/>
      <c r="B78" s="702">
        <v>394</v>
      </c>
      <c r="C78" s="673" t="s">
        <v>626</v>
      </c>
      <c r="D78" s="674">
        <f>Data!B150</f>
        <v>1075760</v>
      </c>
      <c r="E78" s="676">
        <v>0</v>
      </c>
      <c r="F78" s="676">
        <v>0</v>
      </c>
      <c r="G78" s="1235">
        <v>0</v>
      </c>
      <c r="H78" s="674">
        <f t="shared" si="15"/>
        <v>1075760</v>
      </c>
      <c r="I78" s="1235">
        <v>0</v>
      </c>
      <c r="J78" s="1235">
        <v>0</v>
      </c>
      <c r="K78" s="1235">
        <v>0</v>
      </c>
      <c r="L78" s="1235">
        <v>0</v>
      </c>
      <c r="M78" s="674">
        <f t="shared" si="16"/>
        <v>1075760</v>
      </c>
      <c r="N78" s="674">
        <f t="shared" si="14"/>
        <v>1075760</v>
      </c>
      <c r="O78" s="370"/>
      <c r="P78" s="185"/>
      <c r="Q78" s="185"/>
      <c r="R78" s="185"/>
      <c r="S78" s="185"/>
    </row>
    <row r="79" spans="1:19">
      <c r="A79" s="185"/>
      <c r="B79" s="702">
        <v>395</v>
      </c>
      <c r="C79" s="673" t="s">
        <v>627</v>
      </c>
      <c r="D79" s="674">
        <f>Data!B151</f>
        <v>9200</v>
      </c>
      <c r="E79" s="676">
        <v>0</v>
      </c>
      <c r="F79" s="676">
        <v>0</v>
      </c>
      <c r="G79" s="1235">
        <v>0</v>
      </c>
      <c r="H79" s="674">
        <f t="shared" si="15"/>
        <v>9200</v>
      </c>
      <c r="I79" s="1235">
        <v>0</v>
      </c>
      <c r="J79" s="1235">
        <v>0</v>
      </c>
      <c r="K79" s="1235">
        <v>0</v>
      </c>
      <c r="L79" s="1235">
        <v>0</v>
      </c>
      <c r="M79" s="674">
        <f t="shared" si="16"/>
        <v>9200</v>
      </c>
      <c r="N79" s="674">
        <f t="shared" si="14"/>
        <v>9200</v>
      </c>
      <c r="O79" s="370"/>
      <c r="P79" s="185"/>
      <c r="Q79" s="185"/>
      <c r="R79" s="185"/>
      <c r="S79" s="185"/>
    </row>
    <row r="80" spans="1:19">
      <c r="A80" s="185"/>
      <c r="B80" s="702">
        <v>396</v>
      </c>
      <c r="C80" s="673" t="s">
        <v>628</v>
      </c>
      <c r="D80" s="674">
        <f>Data!B152</f>
        <v>1357708</v>
      </c>
      <c r="E80" s="676">
        <v>0</v>
      </c>
      <c r="F80" s="676">
        <v>0</v>
      </c>
      <c r="G80" s="1235">
        <v>0</v>
      </c>
      <c r="H80" s="674">
        <f t="shared" si="15"/>
        <v>1357708</v>
      </c>
      <c r="I80" s="1235">
        <v>0</v>
      </c>
      <c r="J80" s="1235">
        <v>0</v>
      </c>
      <c r="K80" s="1235">
        <v>0</v>
      </c>
      <c r="L80" s="1235">
        <v>0</v>
      </c>
      <c r="M80" s="674">
        <f t="shared" si="16"/>
        <v>1357708</v>
      </c>
      <c r="N80" s="674">
        <f t="shared" si="14"/>
        <v>1357708</v>
      </c>
      <c r="O80" s="370"/>
      <c r="P80" s="185"/>
      <c r="Q80" s="185"/>
      <c r="R80" s="185"/>
      <c r="S80" s="185"/>
    </row>
    <row r="81" spans="1:19">
      <c r="A81" s="185"/>
      <c r="B81" s="702">
        <v>397</v>
      </c>
      <c r="C81" s="673" t="s">
        <v>629</v>
      </c>
      <c r="D81" s="674">
        <f>Data!B153</f>
        <v>180404</v>
      </c>
      <c r="E81" s="676">
        <v>15064</v>
      </c>
      <c r="F81" s="676">
        <v>0</v>
      </c>
      <c r="G81" s="1235">
        <v>0</v>
      </c>
      <c r="H81" s="674">
        <f t="shared" si="15"/>
        <v>195468</v>
      </c>
      <c r="I81" s="1235">
        <v>0</v>
      </c>
      <c r="J81" s="1235">
        <v>0</v>
      </c>
      <c r="K81" s="1235">
        <v>25258</v>
      </c>
      <c r="L81" s="1235">
        <v>0</v>
      </c>
      <c r="M81" s="674">
        <f>H81+I81-J81+K81-L81</f>
        <v>220726</v>
      </c>
      <c r="N81" s="674">
        <f>ROUND(H81+I81-J81+(K81*0.5)-(L81*0.5),0)</f>
        <v>208097</v>
      </c>
      <c r="O81" s="370"/>
      <c r="P81" s="185"/>
      <c r="Q81" s="185"/>
      <c r="R81" s="185"/>
      <c r="S81" s="185"/>
    </row>
    <row r="82" spans="1:19">
      <c r="A82" s="185"/>
      <c r="B82" s="702">
        <v>397.1</v>
      </c>
      <c r="C82" s="673" t="s">
        <v>630</v>
      </c>
      <c r="D82" s="674">
        <f>Data!B154</f>
        <v>1459405</v>
      </c>
      <c r="E82" s="676">
        <v>110554</v>
      </c>
      <c r="F82" s="676">
        <v>63453</v>
      </c>
      <c r="G82" s="1235">
        <v>0</v>
      </c>
      <c r="H82" s="674">
        <f t="shared" si="15"/>
        <v>1506506</v>
      </c>
      <c r="I82" s="1235">
        <v>0</v>
      </c>
      <c r="J82" s="1235">
        <v>0</v>
      </c>
      <c r="K82" s="1235">
        <v>0</v>
      </c>
      <c r="L82" s="1235">
        <v>0</v>
      </c>
      <c r="M82" s="674">
        <f>H82+I82-J82+K82-L82</f>
        <v>1506506</v>
      </c>
      <c r="N82" s="674">
        <f>ROUND(H82+I82-J82+(K82*0.5)-(L82*0.5),0)</f>
        <v>1506506</v>
      </c>
      <c r="O82" s="370"/>
      <c r="P82" s="185"/>
      <c r="Q82" s="185"/>
      <c r="R82" s="185"/>
      <c r="S82" s="185"/>
    </row>
    <row r="83" spans="1:19">
      <c r="A83" s="185"/>
      <c r="B83" s="702">
        <v>398</v>
      </c>
      <c r="C83" s="673" t="s">
        <v>631</v>
      </c>
      <c r="D83" s="675">
        <f>Data!B155</f>
        <v>0</v>
      </c>
      <c r="E83" s="922">
        <v>0</v>
      </c>
      <c r="F83" s="922">
        <v>0</v>
      </c>
      <c r="G83" s="1235">
        <v>0</v>
      </c>
      <c r="H83" s="675">
        <f t="shared" si="15"/>
        <v>0</v>
      </c>
      <c r="I83" s="1235">
        <v>0</v>
      </c>
      <c r="J83" s="1235">
        <v>0</v>
      </c>
      <c r="K83" s="1235">
        <v>0</v>
      </c>
      <c r="L83" s="1235">
        <v>0</v>
      </c>
      <c r="M83" s="675">
        <f>H83+I83-J83+K83-L83</f>
        <v>0</v>
      </c>
      <c r="N83" s="675">
        <f>ROUND(H83+I83-J83+(K83*0.5)-(L83*0.5),0)</f>
        <v>0</v>
      </c>
      <c r="O83" s="370"/>
      <c r="P83" s="185"/>
      <c r="Q83" s="185"/>
      <c r="R83" s="185"/>
      <c r="S83" s="185"/>
    </row>
    <row r="84" spans="1:19" ht="15.75" customHeight="1">
      <c r="A84" s="185"/>
      <c r="B84" s="702"/>
      <c r="C84" s="673"/>
      <c r="D84" s="673"/>
      <c r="E84" s="673"/>
      <c r="F84" s="673"/>
      <c r="G84" s="673"/>
      <c r="H84" s="673"/>
      <c r="I84" s="673"/>
      <c r="J84" s="673"/>
      <c r="K84" s="673"/>
      <c r="L84" s="673"/>
      <c r="M84" s="673"/>
      <c r="N84" s="738"/>
      <c r="O84" s="370"/>
      <c r="P84" s="185"/>
      <c r="Q84" s="185"/>
      <c r="R84" s="185"/>
      <c r="S84" s="185"/>
    </row>
    <row r="85" spans="1:19" ht="15.75" customHeight="1">
      <c r="A85" s="185"/>
      <c r="B85" s="700"/>
      <c r="C85" s="673" t="s">
        <v>632</v>
      </c>
      <c r="D85" s="920">
        <f t="shared" ref="D85:N85" si="17">SUM(D72:D83)</f>
        <v>20307748</v>
      </c>
      <c r="E85" s="920">
        <f t="shared" si="17"/>
        <v>721301</v>
      </c>
      <c r="F85" s="920">
        <f t="shared" si="17"/>
        <v>90469</v>
      </c>
      <c r="G85" s="920">
        <f t="shared" si="17"/>
        <v>0</v>
      </c>
      <c r="H85" s="920">
        <f t="shared" si="17"/>
        <v>20938580</v>
      </c>
      <c r="I85" s="920">
        <f t="shared" si="17"/>
        <v>0</v>
      </c>
      <c r="J85" s="920">
        <f t="shared" si="17"/>
        <v>0</v>
      </c>
      <c r="K85" s="920">
        <f t="shared" si="17"/>
        <v>62122</v>
      </c>
      <c r="L85" s="920">
        <f t="shared" si="17"/>
        <v>0</v>
      </c>
      <c r="M85" s="920">
        <f t="shared" si="17"/>
        <v>21000702</v>
      </c>
      <c r="N85" s="935">
        <f t="shared" si="17"/>
        <v>20969641</v>
      </c>
      <c r="O85" s="370"/>
      <c r="P85" s="185"/>
      <c r="Q85" s="185"/>
      <c r="R85" s="185"/>
      <c r="S85" s="185"/>
    </row>
    <row r="86" spans="1:19" ht="15.75" customHeight="1">
      <c r="A86" s="185"/>
      <c r="B86" s="700"/>
      <c r="C86" s="673"/>
      <c r="D86" s="1016" t="s">
        <v>593</v>
      </c>
      <c r="E86" s="1017" t="s">
        <v>593</v>
      </c>
      <c r="F86" s="1017" t="s">
        <v>593</v>
      </c>
      <c r="G86" s="1017"/>
      <c r="H86" s="1017" t="s">
        <v>593</v>
      </c>
      <c r="I86" s="1017" t="s">
        <v>593</v>
      </c>
      <c r="J86" s="1017" t="s">
        <v>593</v>
      </c>
      <c r="K86" s="1017" t="s">
        <v>593</v>
      </c>
      <c r="L86" s="1017" t="s">
        <v>593</v>
      </c>
      <c r="M86" s="1017" t="s">
        <v>593</v>
      </c>
      <c r="N86" s="738"/>
      <c r="O86" s="370"/>
      <c r="P86" s="185"/>
      <c r="Q86" s="185"/>
      <c r="R86" s="185"/>
      <c r="S86" s="185"/>
    </row>
    <row r="87" spans="1:19" ht="13.5" thickBot="1">
      <c r="A87" s="185"/>
      <c r="B87" s="700"/>
      <c r="C87" s="673" t="s">
        <v>633</v>
      </c>
      <c r="D87" s="739">
        <f t="shared" ref="D87:N87" si="18">SUM(D16+D27+D37+D46+D68+D85)</f>
        <v>177062141</v>
      </c>
      <c r="E87" s="739">
        <f t="shared" si="18"/>
        <v>29543053</v>
      </c>
      <c r="F87" s="739">
        <f t="shared" si="18"/>
        <v>1427061</v>
      </c>
      <c r="G87" s="739">
        <f t="shared" si="18"/>
        <v>0</v>
      </c>
      <c r="H87" s="739">
        <f t="shared" si="18"/>
        <v>205178133</v>
      </c>
      <c r="I87" s="739">
        <f t="shared" si="18"/>
        <v>4248000</v>
      </c>
      <c r="J87" s="739">
        <f t="shared" si="18"/>
        <v>0</v>
      </c>
      <c r="K87" s="739">
        <f t="shared" si="18"/>
        <v>8613017</v>
      </c>
      <c r="L87" s="739">
        <f t="shared" si="18"/>
        <v>88584</v>
      </c>
      <c r="M87" s="739">
        <f t="shared" si="18"/>
        <v>217950566</v>
      </c>
      <c r="N87" s="739">
        <f t="shared" si="18"/>
        <v>213688352</v>
      </c>
      <c r="O87" s="370"/>
      <c r="P87" s="185"/>
      <c r="Q87" s="185"/>
      <c r="R87" s="185"/>
      <c r="S87" s="185"/>
    </row>
    <row r="88" spans="1:19" ht="13.5" thickTop="1">
      <c r="A88" s="185"/>
      <c r="B88" s="702" t="s">
        <v>634</v>
      </c>
      <c r="C88" s="673"/>
      <c r="D88" s="738"/>
      <c r="E88" s="738"/>
      <c r="F88" s="738"/>
      <c r="G88" s="738"/>
      <c r="H88" s="738"/>
      <c r="I88" s="738"/>
      <c r="J88" s="738"/>
      <c r="K88" s="738"/>
      <c r="L88" s="738"/>
      <c r="M88" s="738"/>
      <c r="N88" s="673"/>
      <c r="O88" s="370"/>
      <c r="P88" s="185"/>
      <c r="Q88" s="185"/>
      <c r="R88" s="185"/>
      <c r="S88" s="185"/>
    </row>
    <row r="89" spans="1:19" ht="12.75" customHeight="1">
      <c r="A89" s="185"/>
      <c r="B89" s="702" t="s">
        <v>487</v>
      </c>
      <c r="C89" s="673" t="s">
        <v>635</v>
      </c>
      <c r="D89" s="673"/>
      <c r="E89" s="673"/>
      <c r="F89" s="673"/>
      <c r="G89" s="673"/>
      <c r="H89" s="673"/>
      <c r="I89" s="673"/>
      <c r="J89" s="673"/>
      <c r="K89" s="677" t="s">
        <v>1043</v>
      </c>
      <c r="L89" s="673"/>
      <c r="M89" s="673"/>
      <c r="N89" s="673"/>
      <c r="O89" s="370"/>
      <c r="P89" s="185"/>
      <c r="Q89" s="185"/>
      <c r="R89" s="185"/>
      <c r="S89" s="185"/>
    </row>
    <row r="90" spans="1:19">
      <c r="A90" s="185"/>
      <c r="B90" s="700"/>
      <c r="C90" s="673" t="s">
        <v>984</v>
      </c>
      <c r="D90" s="673"/>
      <c r="E90" s="673"/>
      <c r="F90" s="673"/>
      <c r="G90" s="673"/>
      <c r="H90" s="673"/>
      <c r="I90" s="673"/>
      <c r="J90" s="738"/>
      <c r="K90" s="2003" t="s">
        <v>1314</v>
      </c>
      <c r="L90" s="2004"/>
      <c r="M90" s="2004"/>
      <c r="N90" s="2005"/>
      <c r="O90" s="370"/>
      <c r="P90" s="185"/>
      <c r="Q90" s="185"/>
      <c r="R90" s="185"/>
      <c r="S90" s="185"/>
    </row>
    <row r="91" spans="1:19">
      <c r="A91" s="185"/>
      <c r="B91" s="702" t="s">
        <v>489</v>
      </c>
      <c r="C91" s="673" t="s">
        <v>636</v>
      </c>
      <c r="D91" s="673"/>
      <c r="E91" s="673"/>
      <c r="F91" s="673"/>
      <c r="G91" s="673"/>
      <c r="H91" s="673"/>
      <c r="I91" s="673"/>
      <c r="J91" s="673"/>
      <c r="K91" s="2006"/>
      <c r="L91" s="2007"/>
      <c r="M91" s="2007"/>
      <c r="N91" s="2008"/>
      <c r="O91" s="370"/>
      <c r="P91" s="185"/>
      <c r="Q91" s="185"/>
      <c r="R91" s="185"/>
      <c r="S91" s="185"/>
    </row>
    <row r="92" spans="1:19">
      <c r="A92" s="185"/>
      <c r="B92" s="700"/>
      <c r="C92" s="673"/>
      <c r="D92" s="673"/>
      <c r="E92" s="673"/>
      <c r="F92" s="673"/>
      <c r="G92" s="673"/>
      <c r="H92" s="673"/>
      <c r="I92" s="673"/>
      <c r="J92" s="673"/>
      <c r="K92" s="2009"/>
      <c r="L92" s="2010"/>
      <c r="M92" s="2010"/>
      <c r="N92" s="2011"/>
      <c r="O92" s="370"/>
      <c r="P92" s="185"/>
      <c r="Q92" s="185"/>
      <c r="R92" s="185"/>
      <c r="S92" s="185"/>
    </row>
    <row r="93" spans="1:19">
      <c r="A93" s="185"/>
      <c r="B93" s="552"/>
      <c r="C93" s="735"/>
      <c r="D93" s="673"/>
      <c r="E93" s="673"/>
      <c r="F93" s="673"/>
      <c r="G93" s="673"/>
      <c r="H93" s="673"/>
      <c r="I93" s="673"/>
      <c r="J93" s="673"/>
      <c r="K93" s="673"/>
      <c r="L93" s="673"/>
      <c r="M93" s="673"/>
      <c r="N93" s="673"/>
      <c r="O93" s="370"/>
      <c r="P93" s="185"/>
      <c r="Q93" s="185"/>
      <c r="R93" s="185"/>
      <c r="S93" s="185"/>
    </row>
    <row r="94" spans="1:19">
      <c r="A94" s="185"/>
      <c r="B94" s="700"/>
      <c r="C94" s="735"/>
      <c r="D94" s="673"/>
      <c r="E94" s="673"/>
      <c r="F94" s="673"/>
      <c r="G94" s="673"/>
      <c r="H94" s="673"/>
      <c r="I94" s="673"/>
      <c r="J94" s="673"/>
      <c r="K94" s="673"/>
      <c r="L94" s="673"/>
      <c r="M94" s="673"/>
      <c r="N94" s="673"/>
      <c r="O94" s="370"/>
      <c r="P94" s="185"/>
      <c r="Q94" s="185"/>
      <c r="R94" s="185"/>
      <c r="S94" s="185"/>
    </row>
    <row r="95" spans="1:19" ht="13.5" thickBot="1">
      <c r="A95" s="185"/>
      <c r="B95" s="846"/>
      <c r="C95" s="1033"/>
      <c r="D95" s="385"/>
      <c r="E95" s="385"/>
      <c r="F95" s="385"/>
      <c r="G95" s="385"/>
      <c r="H95" s="818"/>
      <c r="I95" s="818"/>
      <c r="J95" s="818"/>
      <c r="K95" s="385"/>
      <c r="L95" s="385"/>
      <c r="M95" s="818"/>
      <c r="N95" s="385"/>
      <c r="O95" s="386"/>
      <c r="P95" s="185"/>
      <c r="Q95" s="185"/>
      <c r="R95" s="185"/>
      <c r="S95" s="185"/>
    </row>
    <row r="96" spans="1:19" ht="13.5" thickTop="1">
      <c r="A96" s="185"/>
      <c r="B96" s="661"/>
      <c r="C96" s="1000"/>
      <c r="D96" s="185"/>
      <c r="E96" s="185"/>
      <c r="F96" s="185"/>
      <c r="G96" s="185"/>
      <c r="H96" s="186"/>
      <c r="I96" s="186"/>
      <c r="J96" s="186"/>
      <c r="K96" s="185"/>
      <c r="L96" s="185"/>
      <c r="M96" s="186"/>
      <c r="N96" s="185"/>
      <c r="O96" s="185"/>
      <c r="P96" s="185"/>
      <c r="Q96" s="185"/>
      <c r="R96" s="185"/>
      <c r="S96" s="185"/>
    </row>
    <row r="97" spans="1:19">
      <c r="A97" s="185"/>
      <c r="B97" s="661"/>
      <c r="C97" s="185"/>
      <c r="D97" s="185"/>
      <c r="E97" s="185"/>
      <c r="F97" s="185"/>
      <c r="G97" s="185"/>
      <c r="H97" s="186"/>
      <c r="I97" s="186"/>
      <c r="J97" s="186"/>
      <c r="K97" s="185"/>
      <c r="L97" s="185"/>
      <c r="M97" s="186"/>
      <c r="N97" s="185"/>
      <c r="O97" s="185"/>
      <c r="P97" s="185"/>
      <c r="Q97" s="185"/>
      <c r="R97" s="185"/>
      <c r="S97" s="185"/>
    </row>
    <row r="98" spans="1:19">
      <c r="A98" s="185"/>
      <c r="B98" s="661"/>
      <c r="C98" s="185"/>
      <c r="D98" s="185"/>
      <c r="E98" s="185"/>
      <c r="F98" s="185"/>
      <c r="G98" s="185"/>
      <c r="H98" s="186"/>
      <c r="I98" s="186"/>
      <c r="J98" s="186"/>
      <c r="K98" s="185"/>
      <c r="L98" s="185"/>
      <c r="M98" s="186"/>
      <c r="N98" s="185"/>
      <c r="O98" s="185"/>
      <c r="P98" s="185"/>
      <c r="Q98" s="185"/>
      <c r="R98" s="185"/>
      <c r="S98" s="185"/>
    </row>
    <row r="99" spans="1:19">
      <c r="A99" s="185"/>
      <c r="B99" s="661"/>
      <c r="C99" s="185"/>
      <c r="D99" s="185"/>
      <c r="E99" s="185"/>
      <c r="F99" s="185"/>
      <c r="G99" s="185"/>
      <c r="H99" s="186"/>
      <c r="I99" s="186"/>
      <c r="J99" s="186"/>
      <c r="K99" s="185"/>
      <c r="L99" s="185"/>
      <c r="M99" s="186"/>
      <c r="N99" s="185"/>
      <c r="O99" s="185"/>
      <c r="P99" s="185"/>
      <c r="Q99" s="185"/>
      <c r="R99" s="185"/>
      <c r="S99" s="185"/>
    </row>
    <row r="100" spans="1:19">
      <c r="A100" s="185"/>
      <c r="B100" s="661"/>
      <c r="C100" s="185"/>
      <c r="D100" s="185"/>
      <c r="E100" s="185"/>
      <c r="F100" s="185"/>
      <c r="G100" s="185"/>
      <c r="H100" s="186"/>
      <c r="I100" s="186"/>
      <c r="J100" s="186"/>
      <c r="K100" s="185"/>
      <c r="L100" s="185"/>
      <c r="M100" s="186"/>
      <c r="N100" s="185"/>
      <c r="O100" s="185"/>
      <c r="P100" s="185"/>
      <c r="Q100" s="185"/>
      <c r="R100" s="185"/>
      <c r="S100" s="185"/>
    </row>
    <row r="101" spans="1:19">
      <c r="A101" s="185"/>
      <c r="B101" s="661"/>
      <c r="C101" s="185"/>
      <c r="D101" s="185"/>
      <c r="E101" s="185"/>
      <c r="F101" s="185"/>
      <c r="G101" s="185"/>
      <c r="H101" s="186"/>
      <c r="I101" s="186"/>
      <c r="J101" s="186"/>
      <c r="K101" s="185"/>
      <c r="L101" s="185"/>
      <c r="M101" s="186"/>
      <c r="N101" s="185"/>
      <c r="O101" s="185"/>
      <c r="P101" s="185"/>
      <c r="Q101" s="185"/>
      <c r="R101" s="185"/>
      <c r="S101" s="185"/>
    </row>
    <row r="102" spans="1:19">
      <c r="A102" s="185"/>
      <c r="B102" s="661"/>
      <c r="C102" s="185"/>
      <c r="D102" s="185"/>
      <c r="E102" s="185"/>
      <c r="F102" s="185"/>
      <c r="G102" s="185"/>
      <c r="H102" s="186"/>
      <c r="I102" s="186"/>
      <c r="J102" s="186"/>
      <c r="K102" s="185"/>
      <c r="L102" s="185"/>
      <c r="M102" s="186"/>
      <c r="N102" s="185"/>
      <c r="O102" s="185"/>
      <c r="P102" s="185"/>
      <c r="Q102" s="185"/>
      <c r="R102" s="185"/>
      <c r="S102" s="185"/>
    </row>
    <row r="103" spans="1:19">
      <c r="A103" s="185"/>
      <c r="B103" s="661"/>
      <c r="C103" s="185"/>
      <c r="D103" s="185"/>
      <c r="E103" s="185"/>
      <c r="F103" s="185"/>
      <c r="G103" s="185"/>
      <c r="H103" s="186"/>
      <c r="I103" s="186"/>
      <c r="J103" s="186"/>
      <c r="K103" s="185"/>
      <c r="L103" s="185"/>
      <c r="M103" s="186"/>
      <c r="N103" s="185"/>
      <c r="O103" s="185"/>
      <c r="P103" s="185"/>
      <c r="Q103" s="185"/>
      <c r="R103" s="185"/>
      <c r="S103" s="185"/>
    </row>
    <row r="104" spans="1:19">
      <c r="A104" s="185"/>
      <c r="B104" s="661"/>
      <c r="C104" s="185"/>
      <c r="D104" s="185"/>
      <c r="E104" s="185"/>
      <c r="F104" s="185"/>
      <c r="G104" s="185"/>
      <c r="H104" s="186"/>
      <c r="I104" s="186"/>
      <c r="J104" s="186"/>
      <c r="K104" s="185"/>
      <c r="L104" s="185"/>
      <c r="M104" s="186"/>
      <c r="N104" s="185"/>
      <c r="O104" s="185"/>
      <c r="P104" s="185"/>
      <c r="Q104" s="185"/>
      <c r="R104" s="185"/>
      <c r="S104" s="185"/>
    </row>
    <row r="105" spans="1:19">
      <c r="A105" s="185"/>
      <c r="B105" s="661"/>
      <c r="C105" s="185"/>
      <c r="D105" s="185"/>
      <c r="E105" s="185"/>
      <c r="F105" s="185"/>
      <c r="G105" s="185"/>
      <c r="H105" s="186"/>
      <c r="I105" s="186"/>
      <c r="J105" s="186"/>
      <c r="K105" s="185"/>
      <c r="L105" s="185"/>
      <c r="M105" s="186"/>
      <c r="N105" s="185"/>
      <c r="O105" s="185"/>
      <c r="P105" s="185"/>
      <c r="Q105" s="185"/>
      <c r="R105" s="185"/>
      <c r="S105" s="185"/>
    </row>
    <row r="106" spans="1:19">
      <c r="A106" s="185"/>
      <c r="B106" s="661"/>
      <c r="C106" s="185"/>
      <c r="D106" s="185"/>
      <c r="E106" s="185"/>
      <c r="F106" s="185"/>
      <c r="G106" s="185"/>
      <c r="H106" s="186"/>
      <c r="I106" s="186"/>
      <c r="J106" s="186"/>
      <c r="K106" s="185"/>
      <c r="L106" s="185"/>
      <c r="M106" s="186"/>
      <c r="N106" s="185"/>
      <c r="O106" s="185"/>
      <c r="P106" s="185"/>
      <c r="Q106" s="185"/>
      <c r="R106" s="185"/>
      <c r="S106" s="185"/>
    </row>
    <row r="107" spans="1:19">
      <c r="A107" s="185"/>
      <c r="B107" s="661"/>
      <c r="C107" s="185"/>
      <c r="D107" s="185"/>
      <c r="E107" s="185"/>
      <c r="F107" s="185"/>
      <c r="G107" s="185"/>
      <c r="H107" s="186"/>
      <c r="I107" s="186"/>
      <c r="J107" s="186"/>
      <c r="K107" s="185"/>
      <c r="L107" s="185"/>
      <c r="M107" s="186"/>
      <c r="N107" s="185"/>
      <c r="O107" s="185"/>
      <c r="P107" s="185"/>
      <c r="Q107" s="185"/>
      <c r="R107" s="185"/>
      <c r="S107" s="185"/>
    </row>
    <row r="108" spans="1:19">
      <c r="A108" s="185"/>
      <c r="B108" s="661"/>
      <c r="C108" s="185"/>
      <c r="D108" s="185"/>
      <c r="E108" s="185"/>
      <c r="F108" s="185"/>
      <c r="G108" s="185"/>
      <c r="H108" s="186"/>
      <c r="I108" s="186"/>
      <c r="J108" s="186"/>
      <c r="K108" s="185"/>
      <c r="L108" s="185"/>
      <c r="M108" s="186"/>
      <c r="N108" s="185"/>
      <c r="O108" s="185"/>
      <c r="P108" s="185"/>
      <c r="Q108" s="185"/>
      <c r="R108" s="185"/>
      <c r="S108" s="185"/>
    </row>
    <row r="109" spans="1:19">
      <c r="A109" s="185"/>
      <c r="B109" s="661"/>
      <c r="C109" s="185"/>
      <c r="D109" s="185"/>
      <c r="E109" s="185"/>
      <c r="F109" s="185"/>
      <c r="G109" s="185"/>
      <c r="H109" s="186"/>
      <c r="I109" s="186"/>
      <c r="J109" s="186"/>
      <c r="K109" s="185"/>
      <c r="L109" s="185"/>
      <c r="M109" s="186"/>
      <c r="N109" s="185"/>
      <c r="O109" s="185"/>
      <c r="P109" s="185"/>
      <c r="Q109" s="185"/>
      <c r="R109" s="185"/>
      <c r="S109" s="185"/>
    </row>
    <row r="110" spans="1:19">
      <c r="A110" s="185"/>
      <c r="B110" s="661"/>
      <c r="C110" s="185"/>
      <c r="D110" s="185"/>
      <c r="E110" s="185"/>
      <c r="F110" s="185"/>
      <c r="G110" s="185"/>
      <c r="H110" s="186"/>
      <c r="I110" s="186"/>
      <c r="J110" s="186"/>
      <c r="K110" s="185"/>
      <c r="L110" s="185"/>
      <c r="M110" s="186"/>
      <c r="N110" s="185"/>
      <c r="O110" s="185"/>
      <c r="P110" s="185"/>
      <c r="Q110" s="185"/>
      <c r="R110" s="185"/>
      <c r="S110" s="185"/>
    </row>
    <row r="111" spans="1:19">
      <c r="A111" s="185"/>
      <c r="B111" s="661"/>
      <c r="C111" s="185"/>
      <c r="D111" s="185"/>
      <c r="E111" s="185"/>
      <c r="F111" s="185"/>
      <c r="G111" s="185"/>
      <c r="H111" s="186"/>
      <c r="I111" s="186"/>
      <c r="J111" s="186"/>
      <c r="K111" s="185"/>
      <c r="L111" s="185"/>
      <c r="M111" s="186"/>
      <c r="N111" s="185"/>
      <c r="O111" s="185"/>
      <c r="P111" s="185"/>
      <c r="Q111" s="185"/>
      <c r="R111" s="185"/>
      <c r="S111" s="185"/>
    </row>
    <row r="112" spans="1:19">
      <c r="A112" s="185"/>
      <c r="B112" s="661"/>
      <c r="C112" s="185"/>
      <c r="D112" s="185"/>
      <c r="E112" s="185"/>
      <c r="F112" s="185"/>
      <c r="G112" s="185"/>
      <c r="H112" s="186"/>
      <c r="I112" s="186"/>
      <c r="J112" s="186"/>
      <c r="K112" s="185"/>
      <c r="L112" s="185"/>
      <c r="M112" s="186"/>
      <c r="N112" s="185"/>
      <c r="O112" s="185"/>
      <c r="P112" s="185"/>
      <c r="Q112" s="185"/>
      <c r="R112" s="185"/>
      <c r="S112" s="185"/>
    </row>
    <row r="113" spans="1:19">
      <c r="A113" s="185"/>
      <c r="B113" s="661"/>
      <c r="C113" s="185"/>
      <c r="D113" s="185"/>
      <c r="E113" s="185"/>
      <c r="F113" s="185"/>
      <c r="G113" s="185"/>
      <c r="H113" s="186"/>
      <c r="I113" s="186"/>
      <c r="J113" s="186"/>
      <c r="K113" s="185"/>
      <c r="L113" s="185"/>
      <c r="M113" s="186"/>
      <c r="N113" s="185"/>
      <c r="O113" s="185"/>
      <c r="P113" s="185"/>
      <c r="Q113" s="185"/>
      <c r="R113" s="185"/>
      <c r="S113" s="185"/>
    </row>
    <row r="114" spans="1:19">
      <c r="A114" s="185"/>
      <c r="B114" s="661"/>
      <c r="C114" s="185"/>
      <c r="D114" s="185"/>
      <c r="E114" s="185"/>
      <c r="F114" s="185"/>
      <c r="G114" s="185"/>
      <c r="H114" s="186"/>
      <c r="I114" s="186"/>
      <c r="J114" s="186"/>
      <c r="K114" s="185"/>
      <c r="L114" s="185"/>
      <c r="M114" s="186"/>
      <c r="N114" s="185"/>
      <c r="O114" s="185"/>
      <c r="P114" s="185"/>
      <c r="Q114" s="185"/>
      <c r="R114" s="185"/>
      <c r="S114" s="185"/>
    </row>
    <row r="115" spans="1:19">
      <c r="A115" s="185"/>
      <c r="B115" s="661"/>
      <c r="C115" s="185"/>
      <c r="D115" s="185"/>
      <c r="E115" s="185"/>
      <c r="F115" s="185"/>
      <c r="G115" s="185"/>
      <c r="H115" s="186"/>
      <c r="I115" s="186"/>
      <c r="J115" s="186"/>
      <c r="K115" s="185"/>
      <c r="L115" s="185"/>
      <c r="M115" s="186"/>
      <c r="N115" s="185"/>
      <c r="O115" s="185"/>
      <c r="P115" s="185"/>
      <c r="Q115" s="185"/>
      <c r="R115" s="185"/>
      <c r="S115" s="185"/>
    </row>
    <row r="116" spans="1:19">
      <c r="A116" s="185"/>
      <c r="B116" s="661"/>
      <c r="C116" s="185"/>
      <c r="D116" s="185"/>
      <c r="E116" s="185"/>
      <c r="F116" s="185"/>
      <c r="G116" s="185"/>
      <c r="H116" s="186"/>
      <c r="I116" s="186"/>
      <c r="J116" s="186"/>
      <c r="K116" s="185"/>
      <c r="L116" s="185"/>
      <c r="M116" s="186"/>
      <c r="N116" s="185"/>
      <c r="O116" s="185"/>
      <c r="P116" s="185"/>
      <c r="Q116" s="185"/>
      <c r="R116" s="185"/>
      <c r="S116" s="185"/>
    </row>
    <row r="117" spans="1:19">
      <c r="A117" s="185"/>
      <c r="B117" s="661"/>
      <c r="C117" s="185"/>
      <c r="D117" s="185"/>
      <c r="E117" s="185"/>
      <c r="F117" s="185"/>
      <c r="G117" s="185"/>
      <c r="H117" s="186"/>
      <c r="I117" s="186"/>
      <c r="J117" s="186"/>
      <c r="K117" s="185"/>
      <c r="L117" s="185"/>
      <c r="M117" s="186"/>
      <c r="N117" s="185"/>
      <c r="O117" s="185"/>
      <c r="P117" s="185"/>
      <c r="Q117" s="185"/>
      <c r="R117" s="185"/>
      <c r="S117" s="185"/>
    </row>
    <row r="118" spans="1:19">
      <c r="A118" s="185"/>
      <c r="B118" s="661"/>
      <c r="C118" s="185"/>
      <c r="D118" s="185"/>
      <c r="E118" s="185"/>
      <c r="F118" s="185"/>
      <c r="G118" s="185"/>
      <c r="H118" s="186"/>
      <c r="I118" s="186"/>
      <c r="J118" s="186"/>
      <c r="K118" s="185"/>
      <c r="L118" s="185"/>
      <c r="M118" s="186"/>
      <c r="N118" s="185"/>
      <c r="O118" s="185"/>
      <c r="P118" s="185"/>
      <c r="Q118" s="185"/>
      <c r="R118" s="185"/>
      <c r="S118" s="185"/>
    </row>
    <row r="119" spans="1:19">
      <c r="A119" s="185"/>
      <c r="B119" s="661"/>
      <c r="C119" s="185"/>
      <c r="D119" s="185"/>
      <c r="E119" s="185"/>
      <c r="F119" s="185"/>
      <c r="G119" s="185"/>
      <c r="H119" s="186"/>
      <c r="I119" s="186"/>
      <c r="J119" s="186"/>
      <c r="K119" s="185"/>
      <c r="L119" s="185"/>
      <c r="M119" s="186"/>
      <c r="N119" s="185"/>
      <c r="O119" s="185"/>
      <c r="P119" s="185"/>
      <c r="Q119" s="185"/>
      <c r="R119" s="185"/>
      <c r="S119" s="185"/>
    </row>
    <row r="120" spans="1:19">
      <c r="A120" s="185"/>
      <c r="B120" s="661"/>
      <c r="C120" s="185"/>
      <c r="D120" s="185"/>
      <c r="E120" s="185"/>
      <c r="F120" s="185"/>
      <c r="G120" s="185"/>
      <c r="H120" s="186"/>
      <c r="I120" s="186"/>
      <c r="J120" s="186"/>
      <c r="K120" s="185"/>
      <c r="L120" s="185"/>
      <c r="M120" s="186"/>
      <c r="N120" s="185"/>
      <c r="O120" s="185"/>
      <c r="P120" s="185"/>
      <c r="Q120" s="185"/>
      <c r="R120" s="185"/>
      <c r="S120" s="185"/>
    </row>
    <row r="121" spans="1:19">
      <c r="A121" s="185"/>
      <c r="B121" s="661"/>
      <c r="C121" s="185"/>
      <c r="D121" s="185"/>
      <c r="E121" s="185"/>
      <c r="F121" s="185"/>
      <c r="G121" s="185"/>
      <c r="H121" s="186"/>
      <c r="I121" s="186"/>
      <c r="J121" s="186"/>
      <c r="K121" s="185"/>
      <c r="L121" s="185"/>
      <c r="M121" s="186"/>
      <c r="N121" s="185"/>
      <c r="O121" s="185"/>
      <c r="P121" s="185"/>
      <c r="Q121" s="185"/>
      <c r="R121" s="185"/>
      <c r="S121" s="185"/>
    </row>
    <row r="122" spans="1:19">
      <c r="A122" s="185"/>
      <c r="B122" s="661"/>
      <c r="C122" s="185"/>
      <c r="D122" s="185"/>
      <c r="E122" s="185"/>
      <c r="F122" s="185"/>
      <c r="G122" s="185"/>
      <c r="H122" s="186"/>
      <c r="I122" s="186"/>
      <c r="J122" s="186"/>
      <c r="K122" s="185"/>
      <c r="L122" s="185"/>
      <c r="M122" s="186"/>
      <c r="N122" s="185"/>
      <c r="O122" s="185"/>
      <c r="P122" s="185"/>
      <c r="Q122" s="185"/>
      <c r="R122" s="185"/>
      <c r="S122" s="185"/>
    </row>
    <row r="123" spans="1:19">
      <c r="A123" s="185"/>
      <c r="B123" s="661"/>
      <c r="C123" s="185"/>
      <c r="D123" s="185"/>
      <c r="E123" s="185"/>
      <c r="F123" s="185"/>
      <c r="G123" s="185"/>
      <c r="H123" s="186"/>
      <c r="I123" s="186"/>
      <c r="J123" s="186"/>
      <c r="K123" s="185"/>
      <c r="L123" s="185"/>
      <c r="M123" s="186"/>
      <c r="N123" s="185"/>
      <c r="O123" s="185"/>
      <c r="P123" s="185"/>
      <c r="Q123" s="185"/>
      <c r="R123" s="185"/>
      <c r="S123" s="185"/>
    </row>
    <row r="124" spans="1:19">
      <c r="A124" s="185"/>
      <c r="B124" s="661"/>
      <c r="C124" s="185"/>
      <c r="D124" s="185"/>
      <c r="E124" s="185"/>
      <c r="F124" s="185"/>
      <c r="G124" s="185"/>
      <c r="H124" s="186"/>
      <c r="I124" s="186"/>
      <c r="J124" s="186"/>
      <c r="K124" s="185"/>
      <c r="L124" s="185"/>
      <c r="M124" s="186"/>
      <c r="N124" s="185"/>
      <c r="O124" s="185"/>
      <c r="P124" s="185"/>
      <c r="Q124" s="185"/>
      <c r="R124" s="185"/>
      <c r="S124" s="185"/>
    </row>
    <row r="125" spans="1:19">
      <c r="A125" s="185"/>
      <c r="B125" s="661"/>
      <c r="C125" s="185"/>
      <c r="D125" s="185"/>
      <c r="E125" s="185"/>
      <c r="F125" s="185"/>
      <c r="G125" s="185"/>
      <c r="H125" s="186"/>
      <c r="I125" s="186"/>
      <c r="J125" s="186"/>
      <c r="K125" s="185"/>
      <c r="L125" s="185"/>
      <c r="M125" s="186"/>
      <c r="N125" s="185"/>
      <c r="O125" s="185"/>
      <c r="P125" s="185"/>
      <c r="Q125" s="185"/>
      <c r="R125" s="185"/>
      <c r="S125" s="185"/>
    </row>
    <row r="126" spans="1:19">
      <c r="A126" s="185"/>
      <c r="B126" s="661"/>
      <c r="C126" s="185"/>
      <c r="D126" s="185"/>
      <c r="E126" s="185"/>
      <c r="F126" s="185"/>
      <c r="G126" s="185"/>
      <c r="H126" s="186"/>
      <c r="I126" s="186"/>
      <c r="J126" s="186"/>
      <c r="K126" s="185"/>
      <c r="L126" s="185"/>
      <c r="M126" s="186"/>
      <c r="N126" s="185"/>
      <c r="O126" s="185"/>
      <c r="P126" s="185"/>
      <c r="Q126" s="185"/>
      <c r="R126" s="185"/>
      <c r="S126" s="185"/>
    </row>
    <row r="127" spans="1:19">
      <c r="A127" s="185"/>
      <c r="B127" s="661"/>
      <c r="C127" s="185"/>
      <c r="D127" s="185"/>
      <c r="E127" s="185"/>
      <c r="F127" s="185"/>
      <c r="G127" s="185"/>
      <c r="H127" s="186"/>
      <c r="I127" s="186"/>
      <c r="J127" s="186"/>
      <c r="K127" s="185"/>
      <c r="L127" s="185"/>
      <c r="M127" s="186"/>
      <c r="N127" s="185"/>
      <c r="O127" s="185"/>
      <c r="P127" s="185"/>
      <c r="Q127" s="185"/>
      <c r="R127" s="185"/>
      <c r="S127" s="185"/>
    </row>
    <row r="128" spans="1:19">
      <c r="A128" s="185"/>
      <c r="B128" s="661"/>
      <c r="C128" s="185"/>
      <c r="D128" s="185"/>
      <c r="E128" s="185"/>
      <c r="F128" s="185"/>
      <c r="G128" s="185"/>
      <c r="H128" s="186"/>
      <c r="I128" s="186"/>
      <c r="J128" s="186"/>
      <c r="K128" s="185"/>
      <c r="L128" s="185"/>
      <c r="M128" s="186"/>
      <c r="N128" s="185"/>
      <c r="O128" s="185"/>
      <c r="P128" s="185"/>
      <c r="Q128" s="185"/>
      <c r="R128" s="185"/>
      <c r="S128" s="185"/>
    </row>
    <row r="129" spans="1:19">
      <c r="A129" s="185"/>
      <c r="B129" s="661"/>
      <c r="C129" s="185"/>
      <c r="D129" s="185"/>
      <c r="E129" s="185"/>
      <c r="F129" s="185"/>
      <c r="G129" s="185"/>
      <c r="H129" s="186"/>
      <c r="I129" s="186"/>
      <c r="J129" s="186"/>
      <c r="K129" s="185"/>
      <c r="L129" s="185"/>
      <c r="M129" s="186"/>
      <c r="N129" s="185"/>
      <c r="O129" s="185"/>
      <c r="P129" s="185"/>
      <c r="Q129" s="185"/>
      <c r="R129" s="185"/>
      <c r="S129" s="185"/>
    </row>
    <row r="130" spans="1:19">
      <c r="A130" s="185"/>
      <c r="B130" s="661"/>
      <c r="C130" s="185"/>
      <c r="D130" s="185"/>
      <c r="E130" s="185"/>
      <c r="F130" s="185"/>
      <c r="G130" s="185"/>
      <c r="H130" s="186"/>
      <c r="I130" s="186"/>
      <c r="J130" s="186"/>
      <c r="K130" s="185"/>
      <c r="L130" s="185"/>
      <c r="M130" s="186"/>
      <c r="N130" s="185"/>
      <c r="O130" s="185"/>
      <c r="P130" s="185"/>
      <c r="Q130" s="185"/>
      <c r="R130" s="185"/>
      <c r="S130" s="185"/>
    </row>
    <row r="131" spans="1:19">
      <c r="A131" s="185"/>
      <c r="B131" s="661"/>
      <c r="C131" s="185"/>
      <c r="D131" s="185"/>
      <c r="E131" s="185"/>
      <c r="F131" s="185"/>
      <c r="G131" s="185"/>
      <c r="H131" s="186"/>
      <c r="I131" s="186"/>
      <c r="J131" s="186"/>
      <c r="K131" s="185"/>
      <c r="L131" s="185"/>
      <c r="M131" s="186"/>
      <c r="N131" s="185"/>
      <c r="O131" s="185"/>
      <c r="P131" s="185"/>
      <c r="Q131" s="185"/>
      <c r="R131" s="185"/>
      <c r="S131" s="185"/>
    </row>
    <row r="132" spans="1:19">
      <c r="A132" s="185"/>
      <c r="B132" s="661"/>
      <c r="C132" s="185"/>
      <c r="D132" s="185"/>
      <c r="E132" s="185"/>
      <c r="F132" s="185"/>
      <c r="G132" s="185"/>
      <c r="H132" s="186"/>
      <c r="I132" s="186"/>
      <c r="J132" s="186"/>
      <c r="K132" s="185"/>
      <c r="L132" s="185"/>
      <c r="M132" s="186"/>
      <c r="N132" s="185"/>
      <c r="O132" s="185"/>
      <c r="P132" s="185"/>
      <c r="Q132" s="185"/>
      <c r="R132" s="185"/>
      <c r="S132" s="185"/>
    </row>
    <row r="133" spans="1:19">
      <c r="A133" s="185"/>
      <c r="B133" s="661"/>
      <c r="C133" s="185"/>
      <c r="D133" s="185"/>
      <c r="E133" s="185"/>
      <c r="F133" s="185"/>
      <c r="G133" s="185"/>
      <c r="H133" s="186"/>
      <c r="I133" s="186"/>
      <c r="J133" s="186"/>
      <c r="K133" s="185"/>
      <c r="L133" s="185"/>
      <c r="M133" s="186"/>
      <c r="N133" s="185"/>
      <c r="O133" s="185"/>
      <c r="P133" s="185"/>
      <c r="Q133" s="185"/>
      <c r="R133" s="185"/>
      <c r="S133" s="185"/>
    </row>
    <row r="134" spans="1:19">
      <c r="A134" s="185"/>
      <c r="B134" s="661"/>
      <c r="C134" s="185"/>
      <c r="D134" s="185"/>
      <c r="E134" s="185"/>
      <c r="F134" s="185"/>
      <c r="G134" s="185"/>
      <c r="H134" s="186"/>
      <c r="I134" s="186"/>
      <c r="J134" s="186"/>
      <c r="K134" s="185"/>
      <c r="L134" s="185"/>
      <c r="M134" s="186"/>
      <c r="N134" s="185"/>
      <c r="O134" s="185"/>
      <c r="P134" s="185"/>
      <c r="Q134" s="185"/>
      <c r="R134" s="185"/>
      <c r="S134" s="185"/>
    </row>
    <row r="135" spans="1:19">
      <c r="A135" s="185"/>
      <c r="B135" s="661"/>
      <c r="C135" s="185"/>
      <c r="D135" s="185"/>
      <c r="E135" s="185"/>
      <c r="F135" s="185"/>
      <c r="G135" s="185"/>
      <c r="H135" s="186"/>
      <c r="I135" s="186"/>
      <c r="J135" s="186"/>
      <c r="K135" s="185"/>
      <c r="L135" s="185"/>
      <c r="M135" s="186"/>
      <c r="N135" s="185"/>
      <c r="O135" s="185"/>
      <c r="P135" s="185"/>
      <c r="Q135" s="185"/>
      <c r="R135" s="185"/>
      <c r="S135" s="185"/>
    </row>
    <row r="136" spans="1:19">
      <c r="A136" s="185"/>
      <c r="B136" s="661"/>
      <c r="C136" s="185"/>
      <c r="D136" s="185"/>
      <c r="E136" s="185"/>
      <c r="F136" s="185"/>
      <c r="G136" s="185"/>
      <c r="H136" s="186"/>
      <c r="I136" s="186"/>
      <c r="J136" s="186"/>
      <c r="K136" s="185"/>
      <c r="L136" s="185"/>
      <c r="M136" s="186"/>
      <c r="N136" s="185"/>
      <c r="O136" s="185"/>
      <c r="P136" s="185"/>
      <c r="Q136" s="185"/>
      <c r="R136" s="185"/>
      <c r="S136" s="185"/>
    </row>
    <row r="137" spans="1:19">
      <c r="A137" s="185"/>
      <c r="B137" s="661"/>
      <c r="C137" s="185"/>
      <c r="D137" s="185"/>
      <c r="E137" s="185"/>
      <c r="F137" s="185"/>
      <c r="G137" s="185"/>
      <c r="H137" s="186"/>
      <c r="I137" s="186"/>
      <c r="J137" s="186"/>
      <c r="K137" s="185"/>
      <c r="L137" s="185"/>
      <c r="M137" s="186"/>
      <c r="N137" s="185"/>
      <c r="O137" s="185"/>
      <c r="P137" s="185"/>
      <c r="Q137" s="185"/>
      <c r="R137" s="185"/>
      <c r="S137" s="185"/>
    </row>
    <row r="138" spans="1:19">
      <c r="A138" s="185"/>
      <c r="B138" s="661"/>
      <c r="C138" s="185"/>
      <c r="D138" s="185"/>
      <c r="E138" s="185"/>
      <c r="F138" s="185"/>
      <c r="G138" s="185"/>
      <c r="H138" s="186"/>
      <c r="I138" s="186"/>
      <c r="J138" s="186"/>
      <c r="K138" s="185"/>
      <c r="L138" s="185"/>
      <c r="M138" s="186"/>
      <c r="N138" s="185"/>
      <c r="O138" s="185"/>
      <c r="P138" s="185"/>
      <c r="Q138" s="185"/>
      <c r="R138" s="185"/>
      <c r="S138" s="185"/>
    </row>
    <row r="139" spans="1:19">
      <c r="A139" s="185"/>
      <c r="B139" s="661"/>
      <c r="C139" s="185"/>
      <c r="D139" s="185"/>
      <c r="E139" s="185"/>
      <c r="F139" s="185"/>
      <c r="G139" s="185"/>
      <c r="H139" s="186"/>
      <c r="I139" s="186"/>
      <c r="J139" s="186"/>
      <c r="K139" s="185"/>
      <c r="L139" s="185"/>
      <c r="M139" s="186"/>
      <c r="N139" s="185"/>
      <c r="O139" s="185"/>
      <c r="P139" s="185"/>
      <c r="Q139" s="185"/>
      <c r="R139" s="185"/>
      <c r="S139" s="185"/>
    </row>
    <row r="140" spans="1:19">
      <c r="A140" s="185"/>
      <c r="B140" s="661"/>
      <c r="C140" s="185"/>
      <c r="D140" s="185"/>
      <c r="E140" s="185"/>
      <c r="F140" s="185"/>
      <c r="G140" s="185"/>
      <c r="H140" s="186"/>
      <c r="I140" s="186"/>
      <c r="J140" s="186"/>
      <c r="K140" s="185"/>
      <c r="L140" s="185"/>
      <c r="M140" s="186"/>
      <c r="N140" s="185"/>
      <c r="O140" s="185"/>
      <c r="P140" s="185"/>
      <c r="Q140" s="185"/>
      <c r="R140" s="185"/>
      <c r="S140" s="185"/>
    </row>
    <row r="141" spans="1:19">
      <c r="A141" s="185"/>
      <c r="B141" s="661"/>
      <c r="C141" s="185"/>
      <c r="D141" s="185"/>
      <c r="E141" s="185"/>
      <c r="F141" s="185"/>
      <c r="G141" s="185"/>
      <c r="H141" s="186"/>
      <c r="I141" s="186"/>
      <c r="J141" s="186"/>
      <c r="K141" s="185"/>
      <c r="L141" s="185"/>
      <c r="M141" s="186"/>
      <c r="N141" s="185"/>
      <c r="O141" s="185"/>
      <c r="P141" s="185"/>
      <c r="Q141" s="185"/>
      <c r="R141" s="185"/>
      <c r="S141" s="185"/>
    </row>
    <row r="142" spans="1:19">
      <c r="A142" s="185"/>
      <c r="B142" s="661"/>
      <c r="C142" s="185"/>
      <c r="D142" s="185"/>
      <c r="E142" s="185"/>
      <c r="F142" s="185"/>
      <c r="G142" s="185"/>
      <c r="H142" s="186"/>
      <c r="I142" s="186"/>
      <c r="J142" s="186"/>
      <c r="K142" s="185"/>
      <c r="L142" s="185"/>
      <c r="M142" s="186"/>
      <c r="N142" s="185"/>
      <c r="O142" s="185"/>
      <c r="P142" s="185"/>
      <c r="Q142" s="185"/>
      <c r="R142" s="185"/>
      <c r="S142" s="185"/>
    </row>
    <row r="143" spans="1:19">
      <c r="A143" s="185"/>
      <c r="B143" s="661"/>
      <c r="C143" s="185"/>
      <c r="D143" s="185"/>
      <c r="E143" s="185"/>
      <c r="F143" s="185"/>
      <c r="G143" s="185"/>
      <c r="H143" s="186"/>
      <c r="I143" s="186"/>
      <c r="J143" s="186"/>
      <c r="K143" s="185"/>
      <c r="L143" s="185"/>
      <c r="M143" s="186"/>
      <c r="N143" s="185"/>
      <c r="O143" s="185"/>
      <c r="P143" s="185"/>
      <c r="Q143" s="185"/>
      <c r="R143" s="185"/>
      <c r="S143" s="185"/>
    </row>
    <row r="144" spans="1:19">
      <c r="A144" s="185"/>
      <c r="B144" s="661"/>
      <c r="C144" s="185"/>
      <c r="D144" s="185"/>
      <c r="E144" s="185"/>
      <c r="F144" s="185"/>
      <c r="G144" s="185"/>
      <c r="H144" s="186"/>
      <c r="I144" s="186"/>
      <c r="J144" s="186"/>
      <c r="K144" s="185"/>
      <c r="L144" s="185"/>
      <c r="M144" s="186"/>
      <c r="N144" s="185"/>
      <c r="O144" s="185"/>
      <c r="P144" s="185"/>
      <c r="Q144" s="185"/>
      <c r="R144" s="185"/>
      <c r="S144" s="185"/>
    </row>
    <row r="145" spans="1:19">
      <c r="A145" s="185"/>
      <c r="B145" s="661"/>
      <c r="C145" s="185"/>
      <c r="D145" s="185"/>
      <c r="E145" s="185"/>
      <c r="F145" s="185"/>
      <c r="G145" s="185"/>
      <c r="H145" s="186"/>
      <c r="I145" s="186"/>
      <c r="J145" s="186"/>
      <c r="K145" s="185"/>
      <c r="L145" s="185"/>
      <c r="M145" s="186"/>
      <c r="N145" s="185"/>
      <c r="O145" s="185"/>
      <c r="P145" s="185"/>
      <c r="Q145" s="185"/>
      <c r="R145" s="185"/>
      <c r="S145" s="185"/>
    </row>
    <row r="146" spans="1:19">
      <c r="A146" s="185"/>
      <c r="B146" s="661"/>
      <c r="C146" s="185"/>
      <c r="D146" s="185"/>
      <c r="E146" s="185"/>
      <c r="F146" s="185"/>
      <c r="G146" s="185"/>
      <c r="H146" s="186"/>
      <c r="I146" s="186"/>
      <c r="J146" s="186"/>
      <c r="K146" s="185"/>
      <c r="L146" s="185"/>
      <c r="M146" s="186"/>
      <c r="N146" s="185"/>
      <c r="O146" s="185"/>
      <c r="P146" s="185"/>
      <c r="Q146" s="185"/>
      <c r="R146" s="185"/>
      <c r="S146" s="185"/>
    </row>
    <row r="147" spans="1:19">
      <c r="A147" s="185"/>
      <c r="B147" s="661"/>
      <c r="C147" s="185"/>
      <c r="D147" s="185"/>
      <c r="E147" s="185"/>
      <c r="F147" s="185"/>
      <c r="G147" s="185"/>
      <c r="H147" s="186"/>
      <c r="I147" s="186"/>
      <c r="J147" s="186"/>
      <c r="K147" s="185"/>
      <c r="L147" s="185"/>
      <c r="M147" s="186"/>
      <c r="N147" s="185"/>
      <c r="O147" s="185"/>
      <c r="P147" s="185"/>
      <c r="Q147" s="185"/>
      <c r="R147" s="185"/>
      <c r="S147" s="185"/>
    </row>
    <row r="148" spans="1:19">
      <c r="A148" s="185"/>
      <c r="B148" s="661"/>
      <c r="C148" s="185"/>
      <c r="D148" s="185"/>
      <c r="E148" s="185"/>
      <c r="F148" s="185"/>
      <c r="G148" s="185"/>
      <c r="H148" s="186"/>
      <c r="I148" s="186"/>
      <c r="J148" s="186"/>
      <c r="K148" s="185"/>
      <c r="L148" s="185"/>
      <c r="M148" s="186"/>
      <c r="N148" s="185"/>
      <c r="O148" s="185"/>
      <c r="P148" s="185"/>
      <c r="Q148" s="185"/>
      <c r="R148" s="185"/>
      <c r="S148" s="185"/>
    </row>
    <row r="149" spans="1:19">
      <c r="A149" s="185"/>
      <c r="B149" s="661"/>
      <c r="C149" s="185"/>
      <c r="D149" s="185"/>
      <c r="E149" s="185"/>
      <c r="F149" s="185"/>
      <c r="G149" s="185"/>
      <c r="H149" s="186"/>
      <c r="I149" s="186"/>
      <c r="J149" s="186"/>
      <c r="K149" s="185"/>
      <c r="L149" s="185"/>
      <c r="M149" s="186"/>
      <c r="N149" s="185"/>
      <c r="O149" s="185"/>
      <c r="P149" s="185"/>
      <c r="Q149" s="185"/>
      <c r="R149" s="185"/>
      <c r="S149" s="185"/>
    </row>
    <row r="150" spans="1:19">
      <c r="A150" s="185"/>
      <c r="B150" s="661"/>
      <c r="C150" s="185"/>
      <c r="D150" s="185"/>
      <c r="E150" s="185"/>
      <c r="F150" s="185"/>
      <c r="G150" s="185"/>
      <c r="H150" s="186"/>
      <c r="I150" s="186"/>
      <c r="J150" s="186"/>
      <c r="K150" s="185"/>
      <c r="L150" s="185"/>
      <c r="M150" s="186"/>
      <c r="N150" s="185"/>
      <c r="O150" s="185"/>
      <c r="P150" s="185"/>
      <c r="Q150" s="185"/>
      <c r="R150" s="185"/>
      <c r="S150" s="185"/>
    </row>
    <row r="151" spans="1:19">
      <c r="A151" s="185"/>
      <c r="B151" s="661"/>
      <c r="C151" s="185"/>
      <c r="D151" s="185"/>
      <c r="E151" s="185"/>
      <c r="F151" s="185"/>
      <c r="G151" s="185"/>
      <c r="H151" s="186"/>
      <c r="I151" s="186"/>
      <c r="J151" s="186"/>
      <c r="K151" s="185"/>
      <c r="L151" s="185"/>
      <c r="M151" s="186"/>
      <c r="N151" s="185"/>
      <c r="O151" s="185"/>
      <c r="P151" s="185"/>
      <c r="Q151" s="185"/>
      <c r="R151" s="185"/>
      <c r="S151" s="185"/>
    </row>
    <row r="152" spans="1:19">
      <c r="A152" s="185"/>
      <c r="B152" s="661"/>
      <c r="C152" s="185"/>
      <c r="D152" s="185"/>
      <c r="E152" s="185"/>
      <c r="F152" s="185"/>
      <c r="G152" s="185"/>
      <c r="H152" s="186"/>
      <c r="I152" s="186"/>
      <c r="J152" s="186"/>
      <c r="K152" s="185"/>
      <c r="L152" s="185"/>
      <c r="M152" s="186"/>
      <c r="N152" s="185"/>
      <c r="O152" s="185"/>
      <c r="P152" s="185"/>
      <c r="Q152" s="185"/>
      <c r="R152" s="185"/>
      <c r="S152" s="185"/>
    </row>
    <row r="153" spans="1:19">
      <c r="A153" s="185"/>
      <c r="B153" s="661"/>
      <c r="C153" s="185"/>
      <c r="D153" s="185"/>
      <c r="E153" s="185"/>
      <c r="F153" s="185"/>
      <c r="G153" s="185"/>
      <c r="H153" s="186"/>
      <c r="I153" s="186"/>
      <c r="J153" s="186"/>
      <c r="K153" s="185"/>
      <c r="L153" s="185"/>
      <c r="M153" s="186"/>
      <c r="N153" s="185"/>
      <c r="O153" s="185"/>
      <c r="P153" s="185"/>
      <c r="Q153" s="185"/>
      <c r="R153" s="185"/>
      <c r="S153" s="185"/>
    </row>
    <row r="154" spans="1:19">
      <c r="A154" s="185"/>
      <c r="B154" s="661"/>
      <c r="C154" s="185"/>
      <c r="D154" s="185"/>
      <c r="E154" s="185"/>
      <c r="F154" s="185"/>
      <c r="G154" s="185"/>
      <c r="H154" s="186"/>
      <c r="I154" s="186"/>
      <c r="J154" s="186"/>
      <c r="K154" s="185"/>
      <c r="L154" s="185"/>
      <c r="M154" s="186"/>
      <c r="N154" s="185"/>
      <c r="O154" s="185"/>
      <c r="P154" s="185"/>
      <c r="Q154" s="185"/>
      <c r="R154" s="185"/>
      <c r="S154" s="185"/>
    </row>
    <row r="155" spans="1:19">
      <c r="A155" s="185"/>
      <c r="B155" s="661"/>
      <c r="C155" s="185"/>
      <c r="D155" s="185"/>
      <c r="E155" s="185"/>
      <c r="F155" s="185"/>
      <c r="G155" s="185"/>
      <c r="H155" s="186"/>
      <c r="I155" s="186"/>
      <c r="J155" s="186"/>
      <c r="K155" s="185"/>
      <c r="L155" s="185"/>
      <c r="M155" s="186"/>
      <c r="N155" s="185"/>
      <c r="O155" s="185"/>
      <c r="P155" s="185"/>
      <c r="Q155" s="185"/>
      <c r="R155" s="185"/>
      <c r="S155" s="185"/>
    </row>
    <row r="156" spans="1:19">
      <c r="A156" s="185"/>
      <c r="B156" s="661"/>
      <c r="C156" s="185"/>
      <c r="D156" s="185"/>
      <c r="E156" s="185"/>
      <c r="F156" s="185"/>
      <c r="G156" s="185"/>
      <c r="H156" s="186"/>
      <c r="I156" s="186"/>
      <c r="J156" s="186"/>
      <c r="K156" s="185"/>
      <c r="L156" s="185"/>
      <c r="M156" s="186"/>
      <c r="N156" s="185"/>
      <c r="O156" s="185"/>
      <c r="P156" s="185"/>
      <c r="Q156" s="185"/>
      <c r="R156" s="185"/>
      <c r="S156" s="185"/>
    </row>
    <row r="157" spans="1:19">
      <c r="A157" s="185"/>
      <c r="B157" s="661"/>
      <c r="C157" s="185"/>
      <c r="D157" s="185"/>
      <c r="E157" s="185"/>
      <c r="F157" s="185"/>
      <c r="G157" s="185"/>
      <c r="H157" s="186"/>
      <c r="I157" s="186"/>
      <c r="J157" s="186"/>
      <c r="K157" s="185"/>
      <c r="L157" s="185"/>
      <c r="M157" s="186"/>
      <c r="N157" s="185"/>
      <c r="O157" s="185"/>
      <c r="P157" s="185"/>
      <c r="Q157" s="185"/>
      <c r="R157" s="185"/>
      <c r="S157" s="185"/>
    </row>
    <row r="158" spans="1:19">
      <c r="A158" s="185"/>
      <c r="B158" s="661"/>
      <c r="C158" s="185"/>
      <c r="D158" s="185"/>
      <c r="E158" s="185"/>
      <c r="F158" s="185"/>
      <c r="G158" s="185"/>
      <c r="H158" s="186"/>
      <c r="I158" s="186"/>
      <c r="J158" s="186"/>
      <c r="K158" s="185"/>
      <c r="L158" s="185"/>
      <c r="M158" s="186"/>
      <c r="N158" s="185"/>
      <c r="O158" s="185"/>
      <c r="P158" s="185"/>
      <c r="Q158" s="185"/>
      <c r="R158" s="185"/>
      <c r="S158" s="185"/>
    </row>
    <row r="159" spans="1:19">
      <c r="A159" s="185"/>
      <c r="B159" s="661"/>
      <c r="C159" s="185"/>
      <c r="D159" s="185"/>
      <c r="E159" s="185"/>
      <c r="F159" s="185"/>
      <c r="G159" s="185"/>
      <c r="H159" s="186"/>
      <c r="I159" s="186"/>
      <c r="J159" s="186"/>
      <c r="K159" s="185"/>
      <c r="L159" s="185"/>
      <c r="M159" s="186"/>
      <c r="N159" s="185"/>
      <c r="O159" s="185"/>
      <c r="P159" s="185"/>
      <c r="Q159" s="185"/>
      <c r="R159" s="185"/>
      <c r="S159" s="185"/>
    </row>
    <row r="160" spans="1:19">
      <c r="A160" s="185"/>
      <c r="B160" s="661"/>
      <c r="C160" s="185"/>
      <c r="D160" s="185"/>
      <c r="E160" s="185"/>
      <c r="F160" s="185"/>
      <c r="G160" s="185"/>
      <c r="H160" s="186"/>
      <c r="I160" s="186"/>
      <c r="J160" s="186"/>
      <c r="K160" s="185"/>
      <c r="L160" s="185"/>
      <c r="M160" s="186"/>
      <c r="N160" s="185"/>
      <c r="O160" s="185"/>
      <c r="P160" s="185"/>
      <c r="Q160" s="185"/>
      <c r="R160" s="185"/>
      <c r="S160" s="185"/>
    </row>
    <row r="161" spans="1:19">
      <c r="A161" s="185"/>
      <c r="B161" s="661"/>
      <c r="C161" s="185"/>
      <c r="D161" s="185"/>
      <c r="E161" s="185"/>
      <c r="F161" s="185"/>
      <c r="G161" s="185"/>
      <c r="H161" s="186"/>
      <c r="I161" s="186"/>
      <c r="J161" s="186"/>
      <c r="K161" s="185"/>
      <c r="L161" s="185"/>
      <c r="M161" s="186"/>
      <c r="N161" s="185"/>
      <c r="O161" s="185"/>
      <c r="P161" s="185"/>
      <c r="Q161" s="185"/>
      <c r="R161" s="185"/>
      <c r="S161" s="185"/>
    </row>
    <row r="162" spans="1:19">
      <c r="A162" s="185"/>
      <c r="B162" s="661"/>
      <c r="C162" s="185"/>
      <c r="D162" s="185"/>
      <c r="E162" s="185"/>
      <c r="F162" s="185"/>
      <c r="G162" s="185"/>
      <c r="H162" s="186"/>
      <c r="I162" s="186"/>
      <c r="J162" s="186"/>
      <c r="K162" s="185"/>
      <c r="L162" s="185"/>
      <c r="M162" s="186"/>
      <c r="N162" s="185"/>
      <c r="O162" s="185"/>
      <c r="P162" s="185"/>
      <c r="Q162" s="185"/>
      <c r="R162" s="185"/>
      <c r="S162" s="185"/>
    </row>
    <row r="163" spans="1:19">
      <c r="A163" s="185"/>
      <c r="B163" s="661"/>
      <c r="C163" s="185"/>
      <c r="D163" s="185"/>
      <c r="E163" s="185"/>
      <c r="F163" s="185"/>
      <c r="G163" s="185"/>
      <c r="H163" s="186"/>
      <c r="I163" s="186"/>
      <c r="J163" s="186"/>
      <c r="K163" s="185"/>
      <c r="L163" s="185"/>
      <c r="M163" s="186"/>
      <c r="N163" s="185"/>
      <c r="O163" s="185"/>
      <c r="P163" s="185"/>
      <c r="Q163" s="185"/>
      <c r="R163" s="185"/>
      <c r="S163" s="185"/>
    </row>
    <row r="164" spans="1:19">
      <c r="A164" s="185"/>
      <c r="B164" s="661"/>
      <c r="C164" s="185"/>
      <c r="D164" s="185"/>
      <c r="E164" s="185"/>
      <c r="F164" s="185"/>
      <c r="G164" s="185"/>
      <c r="H164" s="186"/>
      <c r="I164" s="186"/>
      <c r="J164" s="186"/>
      <c r="K164" s="185"/>
      <c r="L164" s="185"/>
      <c r="M164" s="186"/>
      <c r="N164" s="185"/>
      <c r="O164" s="185"/>
      <c r="P164" s="185"/>
      <c r="Q164" s="185"/>
      <c r="R164" s="185"/>
      <c r="S164" s="185"/>
    </row>
    <row r="165" spans="1:19">
      <c r="A165" s="185"/>
      <c r="B165" s="661"/>
      <c r="C165" s="185"/>
      <c r="D165" s="185"/>
      <c r="E165" s="185"/>
      <c r="F165" s="185"/>
      <c r="G165" s="185"/>
      <c r="H165" s="186"/>
      <c r="I165" s="186"/>
      <c r="J165" s="186"/>
      <c r="K165" s="185"/>
      <c r="L165" s="185"/>
      <c r="M165" s="186"/>
      <c r="N165" s="185"/>
      <c r="O165" s="185"/>
      <c r="P165" s="185"/>
      <c r="Q165" s="185"/>
      <c r="R165" s="185"/>
      <c r="S165" s="185"/>
    </row>
    <row r="166" spans="1:19">
      <c r="A166" s="185"/>
      <c r="B166" s="661"/>
      <c r="C166" s="185"/>
      <c r="D166" s="185"/>
      <c r="E166" s="185"/>
      <c r="F166" s="185"/>
      <c r="G166" s="185"/>
      <c r="H166" s="186"/>
      <c r="I166" s="186"/>
      <c r="J166" s="186"/>
      <c r="K166" s="185"/>
      <c r="L166" s="185"/>
      <c r="M166" s="186"/>
      <c r="N166" s="185"/>
      <c r="O166" s="185"/>
      <c r="P166" s="185"/>
      <c r="Q166" s="185"/>
      <c r="R166" s="185"/>
      <c r="S166" s="185"/>
    </row>
    <row r="167" spans="1:19">
      <c r="A167" s="185"/>
      <c r="B167" s="661"/>
      <c r="C167" s="185"/>
      <c r="D167" s="185"/>
      <c r="E167" s="185"/>
      <c r="F167" s="185"/>
      <c r="G167" s="185"/>
      <c r="H167" s="186"/>
      <c r="I167" s="186"/>
      <c r="J167" s="186"/>
      <c r="K167" s="185"/>
      <c r="L167" s="185"/>
      <c r="M167" s="186"/>
      <c r="N167" s="185"/>
      <c r="O167" s="185"/>
      <c r="P167" s="185"/>
      <c r="Q167" s="185"/>
      <c r="R167" s="185"/>
      <c r="S167" s="185"/>
    </row>
    <row r="168" spans="1:19">
      <c r="A168" s="185"/>
      <c r="B168" s="661"/>
      <c r="C168" s="185"/>
      <c r="D168" s="185"/>
      <c r="E168" s="185"/>
      <c r="F168" s="185"/>
      <c r="G168" s="185"/>
      <c r="H168" s="186"/>
      <c r="I168" s="186"/>
      <c r="J168" s="186"/>
      <c r="K168" s="185"/>
      <c r="L168" s="185"/>
      <c r="M168" s="186"/>
      <c r="N168" s="185"/>
      <c r="O168" s="185"/>
      <c r="P168" s="185"/>
      <c r="Q168" s="185"/>
      <c r="R168" s="185"/>
      <c r="S168" s="185"/>
    </row>
    <row r="169" spans="1:19">
      <c r="A169" s="185"/>
      <c r="B169" s="661"/>
      <c r="C169" s="185"/>
      <c r="D169" s="185"/>
      <c r="E169" s="185"/>
      <c r="F169" s="185"/>
      <c r="G169" s="185"/>
      <c r="H169" s="186"/>
      <c r="I169" s="186"/>
      <c r="J169" s="186"/>
      <c r="K169" s="185"/>
      <c r="L169" s="185"/>
      <c r="M169" s="186"/>
      <c r="N169" s="185"/>
      <c r="O169" s="185"/>
      <c r="P169" s="185"/>
      <c r="Q169" s="185"/>
      <c r="R169" s="185"/>
      <c r="S169" s="185"/>
    </row>
    <row r="170" spans="1:19">
      <c r="A170" s="185"/>
      <c r="B170" s="661"/>
      <c r="C170" s="185"/>
      <c r="D170" s="185"/>
      <c r="E170" s="185"/>
      <c r="F170" s="185"/>
      <c r="G170" s="185"/>
      <c r="H170" s="186"/>
      <c r="I170" s="186"/>
      <c r="J170" s="186"/>
      <c r="K170" s="185"/>
      <c r="L170" s="185"/>
      <c r="M170" s="186"/>
      <c r="N170" s="185"/>
      <c r="O170" s="185"/>
      <c r="P170" s="185"/>
      <c r="Q170" s="185"/>
      <c r="R170" s="185"/>
      <c r="S170" s="185"/>
    </row>
    <row r="171" spans="1:19">
      <c r="A171" s="185"/>
      <c r="B171" s="661"/>
      <c r="C171" s="185"/>
      <c r="D171" s="185"/>
      <c r="E171" s="185"/>
      <c r="F171" s="185"/>
      <c r="G171" s="185"/>
      <c r="H171" s="186"/>
      <c r="I171" s="186"/>
      <c r="J171" s="186"/>
      <c r="K171" s="185"/>
      <c r="L171" s="185"/>
      <c r="M171" s="186"/>
      <c r="N171" s="185"/>
      <c r="O171" s="185"/>
      <c r="P171" s="185"/>
      <c r="Q171" s="185"/>
      <c r="R171" s="185"/>
      <c r="S171" s="185"/>
    </row>
    <row r="172" spans="1:19">
      <c r="A172" s="185"/>
      <c r="B172" s="661"/>
      <c r="C172" s="185"/>
      <c r="D172" s="185"/>
      <c r="E172" s="185"/>
      <c r="F172" s="185"/>
      <c r="G172" s="185"/>
      <c r="H172" s="186"/>
      <c r="I172" s="186"/>
      <c r="J172" s="186"/>
      <c r="K172" s="185"/>
      <c r="L172" s="185"/>
      <c r="M172" s="186"/>
      <c r="N172" s="185"/>
      <c r="O172" s="185"/>
      <c r="P172" s="185"/>
      <c r="Q172" s="185"/>
      <c r="R172" s="185"/>
      <c r="S172" s="185"/>
    </row>
    <row r="173" spans="1:19">
      <c r="A173" s="185"/>
      <c r="B173" s="661"/>
      <c r="C173" s="185"/>
      <c r="D173" s="185"/>
      <c r="E173" s="185"/>
      <c r="F173" s="185"/>
      <c r="G173" s="185"/>
      <c r="H173" s="186"/>
      <c r="I173" s="186"/>
      <c r="J173" s="186"/>
      <c r="K173" s="185"/>
      <c r="L173" s="185"/>
      <c r="M173" s="186"/>
      <c r="N173" s="185"/>
      <c r="O173" s="185"/>
      <c r="P173" s="185"/>
      <c r="Q173" s="185"/>
      <c r="R173" s="185"/>
      <c r="S173" s="185"/>
    </row>
    <row r="174" spans="1:19">
      <c r="A174" s="185"/>
      <c r="B174" s="661"/>
      <c r="C174" s="185"/>
      <c r="D174" s="185"/>
      <c r="E174" s="185"/>
      <c r="F174" s="185"/>
      <c r="G174" s="185"/>
      <c r="H174" s="186"/>
      <c r="I174" s="186"/>
      <c r="J174" s="186"/>
      <c r="K174" s="185"/>
      <c r="L174" s="185"/>
      <c r="M174" s="186"/>
      <c r="N174" s="185"/>
      <c r="O174" s="185"/>
      <c r="P174" s="185"/>
      <c r="Q174" s="185"/>
      <c r="R174" s="185"/>
      <c r="S174" s="185"/>
    </row>
    <row r="175" spans="1:19">
      <c r="A175" s="185"/>
      <c r="B175" s="661"/>
      <c r="C175" s="185"/>
      <c r="D175" s="185"/>
      <c r="E175" s="185"/>
      <c r="F175" s="185"/>
      <c r="G175" s="185"/>
      <c r="H175" s="186"/>
      <c r="I175" s="186"/>
      <c r="J175" s="186"/>
      <c r="K175" s="185"/>
      <c r="L175" s="185"/>
      <c r="M175" s="186"/>
      <c r="N175" s="185"/>
      <c r="O175" s="185"/>
      <c r="P175" s="185"/>
      <c r="Q175" s="185"/>
      <c r="R175" s="185"/>
      <c r="S175" s="185"/>
    </row>
    <row r="176" spans="1:19">
      <c r="A176" s="185"/>
      <c r="B176" s="661"/>
      <c r="C176" s="185"/>
      <c r="D176" s="185"/>
      <c r="E176" s="185"/>
      <c r="F176" s="185"/>
      <c r="G176" s="185"/>
      <c r="H176" s="186"/>
      <c r="I176" s="186"/>
      <c r="J176" s="186"/>
      <c r="K176" s="185"/>
      <c r="L176" s="185"/>
      <c r="M176" s="186"/>
      <c r="N176" s="185"/>
      <c r="O176" s="185"/>
      <c r="P176" s="185"/>
      <c r="Q176" s="185"/>
      <c r="R176" s="185"/>
      <c r="S176" s="185"/>
    </row>
    <row r="177" spans="1:19">
      <c r="A177" s="185"/>
      <c r="B177" s="661"/>
      <c r="C177" s="185"/>
      <c r="D177" s="185"/>
      <c r="E177" s="185"/>
      <c r="F177" s="185"/>
      <c r="G177" s="185"/>
      <c r="H177" s="186"/>
      <c r="I177" s="186"/>
      <c r="J177" s="186"/>
      <c r="K177" s="185"/>
      <c r="L177" s="185"/>
      <c r="M177" s="186"/>
      <c r="N177" s="185"/>
      <c r="O177" s="185"/>
      <c r="P177" s="185"/>
      <c r="Q177" s="185"/>
      <c r="R177" s="185"/>
      <c r="S177" s="185"/>
    </row>
    <row r="178" spans="1:19">
      <c r="A178" s="185"/>
      <c r="B178" s="661"/>
      <c r="C178" s="185"/>
      <c r="D178" s="185"/>
      <c r="E178" s="185"/>
      <c r="F178" s="185"/>
      <c r="G178" s="185"/>
      <c r="H178" s="186"/>
      <c r="I178" s="186"/>
      <c r="J178" s="186"/>
      <c r="K178" s="185"/>
      <c r="L178" s="185"/>
      <c r="M178" s="186"/>
      <c r="N178" s="185"/>
      <c r="O178" s="185"/>
      <c r="P178" s="185"/>
      <c r="Q178" s="185"/>
      <c r="R178" s="185"/>
      <c r="S178" s="185"/>
    </row>
    <row r="179" spans="1:19">
      <c r="A179" s="185"/>
      <c r="B179" s="661"/>
      <c r="C179" s="185"/>
      <c r="D179" s="185"/>
      <c r="E179" s="185"/>
      <c r="F179" s="185"/>
      <c r="G179" s="185"/>
      <c r="H179" s="186"/>
      <c r="I179" s="186"/>
      <c r="J179" s="186"/>
      <c r="K179" s="185"/>
      <c r="L179" s="185"/>
      <c r="M179" s="186"/>
      <c r="N179" s="185"/>
      <c r="O179" s="185"/>
      <c r="P179" s="185"/>
      <c r="Q179" s="185"/>
      <c r="R179" s="185"/>
      <c r="S179" s="185"/>
    </row>
    <row r="180" spans="1:19">
      <c r="A180" s="185"/>
      <c r="B180" s="661"/>
      <c r="C180" s="185"/>
      <c r="D180" s="185"/>
      <c r="E180" s="185"/>
      <c r="F180" s="185"/>
      <c r="G180" s="185"/>
      <c r="H180" s="186"/>
      <c r="I180" s="186"/>
      <c r="J180" s="186"/>
      <c r="K180" s="185"/>
      <c r="L180" s="185"/>
      <c r="M180" s="186"/>
      <c r="N180" s="185"/>
      <c r="O180" s="185"/>
      <c r="P180" s="185"/>
      <c r="Q180" s="185"/>
      <c r="R180" s="185"/>
      <c r="S180" s="185"/>
    </row>
    <row r="181" spans="1:19">
      <c r="A181" s="185"/>
      <c r="B181" s="661"/>
      <c r="C181" s="185"/>
      <c r="D181" s="185"/>
      <c r="E181" s="185"/>
      <c r="F181" s="185"/>
      <c r="G181" s="185"/>
      <c r="H181" s="186"/>
      <c r="I181" s="186"/>
      <c r="J181" s="186"/>
      <c r="K181" s="185"/>
      <c r="L181" s="185"/>
      <c r="M181" s="186"/>
      <c r="N181" s="185"/>
      <c r="O181" s="185"/>
      <c r="P181" s="185"/>
      <c r="Q181" s="185"/>
      <c r="R181" s="185"/>
      <c r="S181" s="185"/>
    </row>
    <row r="182" spans="1:19">
      <c r="A182" s="185"/>
      <c r="B182" s="661"/>
      <c r="C182" s="185"/>
      <c r="D182" s="185"/>
      <c r="E182" s="185"/>
      <c r="F182" s="185"/>
      <c r="G182" s="185"/>
      <c r="H182" s="186"/>
      <c r="I182" s="186"/>
      <c r="J182" s="186"/>
      <c r="K182" s="185"/>
      <c r="L182" s="185"/>
      <c r="M182" s="186"/>
      <c r="N182" s="185"/>
      <c r="O182" s="185"/>
      <c r="P182" s="185"/>
      <c r="Q182" s="185"/>
      <c r="R182" s="185"/>
      <c r="S182" s="185"/>
    </row>
    <row r="183" spans="1:19">
      <c r="A183" s="185"/>
      <c r="B183" s="661"/>
      <c r="C183" s="185"/>
      <c r="D183" s="185"/>
      <c r="E183" s="185"/>
      <c r="F183" s="185"/>
      <c r="G183" s="185"/>
      <c r="H183" s="186"/>
      <c r="I183" s="186"/>
      <c r="J183" s="186"/>
      <c r="K183" s="185"/>
      <c r="L183" s="185"/>
      <c r="M183" s="186"/>
      <c r="N183" s="185"/>
      <c r="O183" s="185"/>
      <c r="P183" s="185"/>
      <c r="Q183" s="185"/>
      <c r="R183" s="185"/>
      <c r="S183" s="185"/>
    </row>
    <row r="184" spans="1:19">
      <c r="A184" s="185"/>
      <c r="B184" s="661"/>
      <c r="C184" s="185"/>
      <c r="D184" s="185"/>
      <c r="E184" s="185"/>
      <c r="F184" s="185"/>
      <c r="G184" s="185"/>
      <c r="H184" s="186"/>
      <c r="I184" s="186"/>
      <c r="J184" s="186"/>
      <c r="K184" s="185"/>
      <c r="L184" s="185"/>
      <c r="M184" s="186"/>
      <c r="N184" s="185"/>
      <c r="O184" s="185"/>
      <c r="P184" s="185"/>
      <c r="Q184" s="185"/>
      <c r="R184" s="185"/>
      <c r="S184" s="185"/>
    </row>
    <row r="185" spans="1:19">
      <c r="A185" s="185"/>
      <c r="B185" s="661"/>
      <c r="C185" s="185"/>
      <c r="D185" s="185"/>
      <c r="E185" s="185"/>
      <c r="F185" s="185"/>
      <c r="G185" s="185"/>
      <c r="H185" s="186"/>
      <c r="I185" s="186"/>
      <c r="J185" s="186"/>
      <c r="K185" s="185"/>
      <c r="L185" s="185"/>
      <c r="M185" s="186"/>
      <c r="N185" s="185"/>
      <c r="O185" s="185"/>
      <c r="P185" s="185"/>
      <c r="Q185" s="185"/>
      <c r="R185" s="185"/>
      <c r="S185" s="185"/>
    </row>
    <row r="186" spans="1:19">
      <c r="A186" s="185"/>
      <c r="B186" s="661"/>
      <c r="C186" s="185"/>
      <c r="D186" s="185"/>
      <c r="E186" s="185"/>
      <c r="F186" s="185"/>
      <c r="G186" s="185"/>
      <c r="H186" s="186"/>
      <c r="I186" s="186"/>
      <c r="J186" s="186"/>
      <c r="K186" s="185"/>
      <c r="L186" s="185"/>
      <c r="M186" s="186"/>
      <c r="N186" s="185"/>
      <c r="O186" s="185"/>
      <c r="P186" s="185"/>
      <c r="Q186" s="185"/>
      <c r="R186" s="185"/>
      <c r="S186" s="185"/>
    </row>
    <row r="187" spans="1:19">
      <c r="A187" s="185"/>
      <c r="B187" s="661"/>
      <c r="C187" s="185"/>
      <c r="D187" s="185"/>
      <c r="E187" s="185"/>
      <c r="F187" s="185"/>
      <c r="G187" s="185"/>
      <c r="H187" s="186"/>
      <c r="I187" s="186"/>
      <c r="J187" s="186"/>
      <c r="K187" s="185"/>
      <c r="L187" s="185"/>
      <c r="M187" s="186"/>
      <c r="N187" s="185"/>
      <c r="O187" s="185"/>
      <c r="P187" s="185"/>
      <c r="Q187" s="185"/>
      <c r="R187" s="185"/>
      <c r="S187" s="185"/>
    </row>
    <row r="188" spans="1:19">
      <c r="A188" s="185"/>
      <c r="B188" s="661"/>
      <c r="C188" s="185"/>
      <c r="D188" s="185"/>
      <c r="E188" s="185"/>
      <c r="F188" s="185"/>
      <c r="G188" s="185"/>
      <c r="H188" s="186"/>
      <c r="I188" s="186"/>
      <c r="J188" s="186"/>
      <c r="K188" s="185"/>
      <c r="L188" s="185"/>
      <c r="M188" s="186"/>
      <c r="N188" s="185"/>
      <c r="O188" s="185"/>
      <c r="P188" s="185"/>
      <c r="Q188" s="185"/>
      <c r="R188" s="185"/>
      <c r="S188" s="185"/>
    </row>
    <row r="189" spans="1:19">
      <c r="A189" s="185"/>
      <c r="B189" s="661"/>
      <c r="C189" s="185"/>
      <c r="D189" s="185"/>
      <c r="E189" s="185"/>
      <c r="F189" s="185"/>
      <c r="G189" s="185"/>
      <c r="H189" s="186"/>
      <c r="I189" s="186"/>
      <c r="J189" s="186"/>
      <c r="K189" s="185"/>
      <c r="L189" s="185"/>
      <c r="M189" s="186"/>
      <c r="N189" s="185"/>
      <c r="O189" s="185"/>
      <c r="P189" s="185"/>
      <c r="Q189" s="185"/>
      <c r="R189" s="185"/>
      <c r="S189" s="185"/>
    </row>
    <row r="190" spans="1:19">
      <c r="A190" s="185"/>
      <c r="B190" s="661"/>
      <c r="C190" s="185"/>
      <c r="D190" s="185"/>
      <c r="E190" s="185"/>
      <c r="F190" s="185"/>
      <c r="G190" s="185"/>
      <c r="H190" s="186"/>
      <c r="I190" s="186"/>
      <c r="J190" s="186"/>
      <c r="K190" s="185"/>
      <c r="L190" s="185"/>
      <c r="M190" s="186"/>
      <c r="N190" s="185"/>
      <c r="O190" s="185"/>
      <c r="P190" s="185"/>
      <c r="Q190" s="185"/>
      <c r="R190" s="185"/>
      <c r="S190" s="185"/>
    </row>
    <row r="191" spans="1:19">
      <c r="A191" s="185"/>
      <c r="B191" s="661"/>
      <c r="C191" s="185"/>
      <c r="D191" s="185"/>
      <c r="E191" s="185"/>
      <c r="F191" s="185"/>
      <c r="G191" s="185"/>
      <c r="H191" s="186"/>
      <c r="I191" s="186"/>
      <c r="J191" s="186"/>
      <c r="K191" s="185"/>
      <c r="L191" s="185"/>
      <c r="M191" s="186"/>
      <c r="N191" s="185"/>
      <c r="O191" s="185"/>
      <c r="P191" s="185"/>
      <c r="Q191" s="185"/>
      <c r="R191" s="185"/>
      <c r="S191" s="185"/>
    </row>
    <row r="192" spans="1:19">
      <c r="A192" s="185"/>
      <c r="B192" s="661"/>
      <c r="C192" s="185"/>
      <c r="D192" s="185"/>
      <c r="E192" s="185"/>
      <c r="F192" s="185"/>
      <c r="G192" s="185"/>
      <c r="H192" s="186"/>
      <c r="I192" s="186"/>
      <c r="J192" s="186"/>
      <c r="K192" s="185"/>
      <c r="L192" s="185"/>
      <c r="M192" s="186"/>
      <c r="N192" s="185"/>
      <c r="O192" s="185"/>
      <c r="P192" s="185"/>
      <c r="Q192" s="185"/>
      <c r="R192" s="185"/>
      <c r="S192" s="185"/>
    </row>
    <row r="193" spans="1:19">
      <c r="A193" s="185"/>
      <c r="B193" s="661"/>
      <c r="C193" s="185"/>
      <c r="D193" s="185"/>
      <c r="E193" s="185"/>
      <c r="F193" s="185"/>
      <c r="G193" s="185"/>
      <c r="H193" s="186"/>
      <c r="I193" s="186"/>
      <c r="J193" s="186"/>
      <c r="K193" s="185"/>
      <c r="L193" s="185"/>
      <c r="M193" s="186"/>
      <c r="N193" s="185"/>
      <c r="O193" s="185"/>
      <c r="P193" s="185"/>
      <c r="Q193" s="185"/>
      <c r="R193" s="185"/>
      <c r="S193" s="185"/>
    </row>
    <row r="194" spans="1:19">
      <c r="A194" s="185"/>
      <c r="B194" s="661"/>
      <c r="C194" s="185"/>
      <c r="D194" s="185"/>
      <c r="E194" s="185"/>
      <c r="F194" s="185"/>
      <c r="G194" s="185"/>
      <c r="H194" s="186"/>
      <c r="I194" s="186"/>
      <c r="J194" s="186"/>
      <c r="K194" s="185"/>
      <c r="L194" s="185"/>
      <c r="M194" s="186"/>
      <c r="N194" s="185"/>
      <c r="O194" s="185"/>
      <c r="P194" s="185"/>
      <c r="Q194" s="185"/>
      <c r="R194" s="185"/>
      <c r="S194" s="185"/>
    </row>
    <row r="195" spans="1:19">
      <c r="A195" s="185"/>
      <c r="B195" s="661"/>
      <c r="C195" s="185"/>
      <c r="D195" s="185"/>
      <c r="E195" s="185"/>
      <c r="F195" s="185"/>
      <c r="G195" s="185"/>
      <c r="H195" s="186"/>
      <c r="I195" s="186"/>
      <c r="J195" s="186"/>
      <c r="K195" s="185"/>
      <c r="L195" s="185"/>
      <c r="M195" s="186"/>
      <c r="N195" s="185"/>
      <c r="O195" s="185"/>
      <c r="P195" s="185"/>
      <c r="Q195" s="185"/>
      <c r="R195" s="185"/>
      <c r="S195" s="185"/>
    </row>
    <row r="196" spans="1:19">
      <c r="A196" s="185"/>
      <c r="B196" s="661"/>
      <c r="C196" s="185"/>
      <c r="D196" s="185"/>
      <c r="E196" s="185"/>
      <c r="F196" s="185"/>
      <c r="G196" s="185"/>
      <c r="H196" s="186"/>
      <c r="I196" s="186"/>
      <c r="J196" s="186"/>
      <c r="K196" s="185"/>
      <c r="L196" s="185"/>
      <c r="M196" s="186"/>
      <c r="N196" s="185"/>
      <c r="O196" s="185"/>
      <c r="P196" s="185"/>
      <c r="Q196" s="185"/>
      <c r="R196" s="185"/>
      <c r="S196" s="185"/>
    </row>
    <row r="197" spans="1:19">
      <c r="A197" s="185"/>
      <c r="B197" s="661"/>
      <c r="C197" s="185"/>
      <c r="D197" s="185"/>
      <c r="E197" s="185"/>
      <c r="F197" s="185"/>
      <c r="G197" s="185"/>
      <c r="H197" s="186"/>
      <c r="I197" s="186"/>
      <c r="J197" s="186"/>
      <c r="K197" s="185"/>
      <c r="L197" s="185"/>
      <c r="M197" s="186"/>
      <c r="N197" s="185"/>
      <c r="O197" s="185"/>
      <c r="P197" s="185"/>
      <c r="Q197" s="185"/>
      <c r="R197" s="185"/>
      <c r="S197" s="185"/>
    </row>
    <row r="198" spans="1:19">
      <c r="A198" s="185"/>
      <c r="B198" s="661"/>
      <c r="C198" s="185"/>
      <c r="D198" s="185"/>
      <c r="E198" s="185"/>
      <c r="F198" s="185"/>
      <c r="G198" s="185"/>
      <c r="H198" s="186"/>
      <c r="I198" s="186"/>
      <c r="J198" s="186"/>
      <c r="K198" s="185"/>
      <c r="L198" s="185"/>
      <c r="M198" s="186"/>
      <c r="N198" s="185"/>
      <c r="O198" s="185"/>
      <c r="P198" s="185"/>
      <c r="Q198" s="185"/>
      <c r="R198" s="185"/>
      <c r="S198" s="185"/>
    </row>
    <row r="199" spans="1:19">
      <c r="A199" s="185"/>
      <c r="B199" s="661"/>
      <c r="C199" s="185"/>
      <c r="D199" s="185"/>
      <c r="E199" s="185"/>
      <c r="F199" s="185"/>
      <c r="G199" s="185"/>
      <c r="H199" s="186"/>
      <c r="I199" s="186"/>
      <c r="J199" s="186"/>
      <c r="K199" s="185"/>
      <c r="L199" s="185"/>
      <c r="M199" s="186"/>
      <c r="N199" s="185"/>
      <c r="O199" s="185"/>
      <c r="P199" s="185"/>
      <c r="Q199" s="185"/>
      <c r="R199" s="185"/>
      <c r="S199" s="185"/>
    </row>
    <row r="200" spans="1:19">
      <c r="A200" s="185"/>
      <c r="B200" s="661"/>
      <c r="C200" s="185"/>
      <c r="D200" s="185"/>
      <c r="E200" s="185"/>
      <c r="F200" s="185"/>
      <c r="G200" s="185"/>
      <c r="H200" s="186"/>
      <c r="I200" s="186"/>
      <c r="J200" s="186"/>
      <c r="K200" s="185"/>
      <c r="L200" s="185"/>
      <c r="M200" s="186"/>
      <c r="N200" s="185"/>
      <c r="O200" s="185"/>
      <c r="P200" s="185"/>
      <c r="Q200" s="185"/>
      <c r="R200" s="185"/>
      <c r="S200" s="185"/>
    </row>
    <row r="201" spans="1:19">
      <c r="A201" s="185"/>
      <c r="B201" s="661"/>
      <c r="C201" s="185"/>
      <c r="D201" s="185"/>
      <c r="E201" s="185"/>
      <c r="F201" s="185"/>
      <c r="G201" s="185"/>
      <c r="H201" s="186"/>
      <c r="I201" s="186"/>
      <c r="J201" s="186"/>
      <c r="K201" s="185"/>
      <c r="L201" s="185"/>
      <c r="M201" s="186"/>
      <c r="N201" s="185"/>
      <c r="O201" s="185"/>
      <c r="P201" s="185"/>
      <c r="Q201" s="185"/>
      <c r="R201" s="185"/>
      <c r="S201" s="185"/>
    </row>
    <row r="202" spans="1:19">
      <c r="A202" s="185"/>
      <c r="B202" s="661"/>
      <c r="C202" s="185"/>
      <c r="D202" s="185"/>
      <c r="E202" s="185"/>
      <c r="F202" s="185"/>
      <c r="G202" s="185"/>
      <c r="H202" s="186"/>
      <c r="I202" s="186"/>
      <c r="J202" s="186"/>
      <c r="K202" s="185"/>
      <c r="L202" s="185"/>
      <c r="M202" s="186"/>
      <c r="N202" s="185"/>
      <c r="O202" s="185"/>
      <c r="P202" s="185"/>
      <c r="Q202" s="185"/>
      <c r="R202" s="185"/>
      <c r="S202" s="185"/>
    </row>
    <row r="203" spans="1:19">
      <c r="A203" s="185"/>
      <c r="B203" s="661"/>
      <c r="C203" s="185"/>
      <c r="D203" s="185"/>
      <c r="E203" s="185"/>
      <c r="F203" s="185"/>
      <c r="G203" s="185"/>
      <c r="H203" s="186"/>
      <c r="I203" s="186"/>
      <c r="J203" s="186"/>
      <c r="K203" s="185"/>
      <c r="L203" s="185"/>
      <c r="M203" s="186"/>
      <c r="N203" s="185"/>
      <c r="O203" s="185"/>
      <c r="P203" s="185"/>
      <c r="Q203" s="185"/>
      <c r="R203" s="185"/>
      <c r="S203" s="185"/>
    </row>
    <row r="204" spans="1:19">
      <c r="A204" s="185"/>
      <c r="B204" s="661"/>
      <c r="C204" s="185"/>
      <c r="D204" s="185"/>
      <c r="E204" s="185"/>
      <c r="F204" s="185"/>
      <c r="G204" s="185"/>
      <c r="H204" s="186"/>
      <c r="I204" s="186"/>
      <c r="J204" s="186"/>
      <c r="K204" s="185"/>
      <c r="L204" s="185"/>
      <c r="M204" s="186"/>
      <c r="N204" s="185"/>
      <c r="O204" s="185"/>
      <c r="P204" s="185"/>
      <c r="Q204" s="185"/>
      <c r="R204" s="185"/>
      <c r="S204" s="185"/>
    </row>
    <row r="205" spans="1:19">
      <c r="A205" s="185"/>
      <c r="B205" s="661"/>
      <c r="C205" s="185"/>
      <c r="D205" s="185"/>
      <c r="E205" s="185"/>
      <c r="F205" s="185"/>
      <c r="G205" s="185"/>
      <c r="H205" s="186"/>
      <c r="I205" s="186"/>
      <c r="J205" s="186"/>
      <c r="K205" s="185"/>
      <c r="L205" s="185"/>
      <c r="M205" s="186"/>
      <c r="N205" s="185"/>
      <c r="O205" s="185"/>
      <c r="P205" s="185"/>
      <c r="Q205" s="185"/>
      <c r="R205" s="185"/>
      <c r="S205" s="185"/>
    </row>
    <row r="206" spans="1:19">
      <c r="A206" s="185"/>
      <c r="B206" s="661"/>
      <c r="C206" s="185"/>
      <c r="D206" s="185"/>
      <c r="E206" s="185"/>
      <c r="F206" s="185"/>
      <c r="G206" s="185"/>
      <c r="H206" s="186"/>
      <c r="I206" s="186"/>
      <c r="J206" s="186"/>
      <c r="K206" s="185"/>
      <c r="L206" s="185"/>
      <c r="M206" s="186"/>
      <c r="N206" s="185"/>
      <c r="O206" s="185"/>
      <c r="P206" s="185"/>
      <c r="Q206" s="185"/>
      <c r="R206" s="185"/>
      <c r="S206" s="185"/>
    </row>
    <row r="207" spans="1:19">
      <c r="A207" s="185"/>
      <c r="B207" s="661"/>
      <c r="C207" s="185"/>
      <c r="D207" s="185"/>
      <c r="E207" s="185"/>
      <c r="F207" s="185"/>
      <c r="G207" s="185"/>
      <c r="H207" s="186"/>
      <c r="I207" s="186"/>
      <c r="J207" s="186"/>
      <c r="K207" s="185"/>
      <c r="L207" s="185"/>
      <c r="M207" s="186"/>
      <c r="N207" s="185"/>
      <c r="O207" s="185"/>
      <c r="P207" s="185"/>
      <c r="Q207" s="185"/>
      <c r="R207" s="185"/>
      <c r="S207" s="185"/>
    </row>
    <row r="208" spans="1:19">
      <c r="A208" s="185"/>
      <c r="B208" s="661"/>
      <c r="C208" s="185"/>
      <c r="D208" s="185"/>
      <c r="E208" s="185"/>
      <c r="F208" s="185"/>
      <c r="G208" s="185"/>
      <c r="H208" s="186"/>
      <c r="I208" s="186"/>
      <c r="J208" s="186"/>
      <c r="K208" s="185"/>
      <c r="L208" s="185"/>
      <c r="M208" s="186"/>
      <c r="N208" s="185"/>
      <c r="O208" s="185"/>
      <c r="P208" s="185"/>
      <c r="Q208" s="185"/>
      <c r="R208" s="185"/>
      <c r="S208" s="185"/>
    </row>
    <row r="209" spans="1:19">
      <c r="A209" s="185"/>
      <c r="B209" s="661"/>
      <c r="C209" s="185"/>
      <c r="D209" s="185"/>
      <c r="E209" s="185"/>
      <c r="F209" s="185"/>
      <c r="G209" s="185"/>
      <c r="H209" s="186"/>
      <c r="I209" s="186"/>
      <c r="J209" s="186"/>
      <c r="K209" s="185"/>
      <c r="L209" s="185"/>
      <c r="M209" s="186"/>
      <c r="N209" s="185"/>
      <c r="O209" s="185"/>
      <c r="P209" s="185"/>
      <c r="Q209" s="185"/>
      <c r="R209" s="185"/>
      <c r="S209" s="185"/>
    </row>
    <row r="210" spans="1:19">
      <c r="A210" s="185"/>
      <c r="B210" s="661"/>
      <c r="C210" s="185"/>
      <c r="D210" s="185"/>
      <c r="E210" s="185"/>
      <c r="F210" s="185"/>
      <c r="G210" s="185"/>
      <c r="H210" s="186"/>
      <c r="I210" s="186"/>
      <c r="J210" s="186"/>
      <c r="K210" s="185"/>
      <c r="L210" s="185"/>
      <c r="M210" s="186"/>
      <c r="N210" s="185"/>
      <c r="O210" s="185"/>
      <c r="P210" s="185"/>
      <c r="Q210" s="185"/>
      <c r="R210" s="185"/>
      <c r="S210" s="185"/>
    </row>
    <row r="211" spans="1:19">
      <c r="A211" s="185"/>
      <c r="B211" s="661"/>
      <c r="C211" s="185"/>
      <c r="D211" s="185"/>
      <c r="E211" s="185"/>
      <c r="F211" s="185"/>
      <c r="G211" s="185"/>
      <c r="H211" s="186"/>
      <c r="I211" s="186"/>
      <c r="J211" s="186"/>
      <c r="K211" s="185"/>
      <c r="L211" s="185"/>
      <c r="M211" s="186"/>
      <c r="N211" s="185"/>
      <c r="O211" s="185"/>
      <c r="P211" s="185"/>
      <c r="Q211" s="185"/>
      <c r="R211" s="185"/>
      <c r="S211" s="185"/>
    </row>
    <row r="212" spans="1:19">
      <c r="A212" s="185"/>
      <c r="B212" s="661"/>
      <c r="C212" s="185"/>
      <c r="D212" s="185"/>
      <c r="E212" s="185"/>
      <c r="F212" s="185"/>
      <c r="G212" s="185"/>
      <c r="H212" s="186"/>
      <c r="I212" s="186"/>
      <c r="J212" s="186"/>
      <c r="K212" s="185"/>
      <c r="L212" s="185"/>
      <c r="M212" s="186"/>
      <c r="N212" s="185"/>
      <c r="O212" s="185"/>
      <c r="P212" s="185"/>
      <c r="Q212" s="185"/>
      <c r="R212" s="185"/>
      <c r="S212" s="185"/>
    </row>
    <row r="213" spans="1:19">
      <c r="A213" s="185"/>
      <c r="B213" s="661"/>
      <c r="C213" s="185"/>
      <c r="D213" s="185"/>
      <c r="E213" s="185"/>
      <c r="F213" s="185"/>
      <c r="G213" s="185"/>
      <c r="H213" s="186"/>
      <c r="I213" s="186"/>
      <c r="J213" s="186"/>
      <c r="K213" s="185"/>
      <c r="L213" s="185"/>
      <c r="M213" s="186"/>
      <c r="N213" s="185"/>
      <c r="O213" s="185"/>
      <c r="P213" s="185"/>
      <c r="Q213" s="185"/>
      <c r="R213" s="185"/>
      <c r="S213" s="185"/>
    </row>
    <row r="214" spans="1:19">
      <c r="A214" s="185"/>
      <c r="B214" s="661"/>
      <c r="C214" s="185"/>
      <c r="D214" s="185"/>
      <c r="E214" s="185"/>
      <c r="F214" s="185"/>
      <c r="G214" s="185"/>
      <c r="H214" s="186"/>
      <c r="I214" s="186"/>
      <c r="J214" s="186"/>
      <c r="K214" s="185"/>
      <c r="L214" s="185"/>
      <c r="M214" s="186"/>
      <c r="N214" s="185"/>
      <c r="O214" s="185"/>
      <c r="P214" s="185"/>
      <c r="Q214" s="185"/>
      <c r="R214" s="185"/>
      <c r="S214" s="185"/>
    </row>
    <row r="215" spans="1:19">
      <c r="A215" s="185"/>
      <c r="B215" s="661"/>
      <c r="C215" s="185"/>
      <c r="D215" s="185"/>
      <c r="E215" s="185"/>
      <c r="F215" s="185"/>
      <c r="G215" s="185"/>
      <c r="H215" s="186"/>
      <c r="I215" s="186"/>
      <c r="J215" s="186"/>
      <c r="K215" s="185"/>
      <c r="L215" s="185"/>
      <c r="M215" s="186"/>
      <c r="N215" s="185"/>
      <c r="O215" s="185"/>
      <c r="P215" s="185"/>
      <c r="Q215" s="185"/>
      <c r="R215" s="185"/>
      <c r="S215" s="185"/>
    </row>
    <row r="216" spans="1:19">
      <c r="A216" s="185"/>
      <c r="B216" s="661"/>
      <c r="C216" s="185"/>
      <c r="D216" s="185"/>
      <c r="E216" s="185"/>
      <c r="F216" s="185"/>
      <c r="G216" s="185"/>
      <c r="H216" s="186"/>
      <c r="I216" s="186"/>
      <c r="J216" s="186"/>
      <c r="K216" s="185"/>
      <c r="L216" s="185"/>
      <c r="M216" s="186"/>
      <c r="N216" s="185"/>
      <c r="O216" s="185"/>
      <c r="P216" s="185"/>
      <c r="Q216" s="185"/>
      <c r="R216" s="185"/>
      <c r="S216" s="185"/>
    </row>
    <row r="217" spans="1:19">
      <c r="A217" s="185"/>
      <c r="B217" s="661"/>
      <c r="C217" s="185"/>
      <c r="D217" s="185"/>
      <c r="E217" s="185"/>
      <c r="F217" s="185"/>
      <c r="G217" s="185"/>
      <c r="H217" s="186"/>
      <c r="I217" s="186"/>
      <c r="J217" s="186"/>
      <c r="K217" s="185"/>
      <c r="L217" s="185"/>
      <c r="M217" s="186"/>
      <c r="N217" s="185"/>
      <c r="O217" s="185"/>
      <c r="P217" s="185"/>
      <c r="Q217" s="185"/>
      <c r="R217" s="185"/>
      <c r="S217" s="185"/>
    </row>
    <row r="218" spans="1:19">
      <c r="A218" s="185"/>
      <c r="B218" s="661"/>
      <c r="C218" s="185"/>
      <c r="D218" s="185"/>
      <c r="E218" s="185"/>
      <c r="F218" s="185"/>
      <c r="G218" s="185"/>
      <c r="H218" s="186"/>
      <c r="I218" s="186"/>
      <c r="J218" s="186"/>
      <c r="K218" s="185"/>
      <c r="L218" s="185"/>
      <c r="M218" s="186"/>
      <c r="N218" s="185"/>
      <c r="O218" s="185"/>
      <c r="P218" s="185"/>
      <c r="Q218" s="185"/>
      <c r="R218" s="185"/>
      <c r="S218" s="185"/>
    </row>
    <row r="219" spans="1:19">
      <c r="A219" s="185"/>
      <c r="B219" s="661"/>
      <c r="C219" s="185"/>
      <c r="D219" s="185"/>
      <c r="E219" s="185"/>
      <c r="F219" s="185"/>
      <c r="G219" s="185"/>
      <c r="H219" s="186"/>
      <c r="I219" s="186"/>
      <c r="J219" s="186"/>
      <c r="K219" s="185"/>
      <c r="L219" s="185"/>
      <c r="M219" s="186"/>
      <c r="N219" s="185"/>
      <c r="O219" s="185"/>
      <c r="P219" s="185"/>
      <c r="Q219" s="185"/>
      <c r="R219" s="185"/>
      <c r="S219" s="185"/>
    </row>
    <row r="220" spans="1:19">
      <c r="A220" s="185"/>
      <c r="B220" s="661"/>
      <c r="C220" s="185"/>
      <c r="D220" s="185"/>
      <c r="E220" s="185"/>
      <c r="F220" s="185"/>
      <c r="G220" s="185"/>
      <c r="H220" s="186"/>
      <c r="I220" s="186"/>
      <c r="J220" s="186"/>
      <c r="K220" s="185"/>
      <c r="L220" s="185"/>
      <c r="M220" s="186"/>
      <c r="N220" s="185"/>
      <c r="O220" s="185"/>
      <c r="P220" s="185"/>
      <c r="Q220" s="185"/>
      <c r="R220" s="185"/>
      <c r="S220" s="185"/>
    </row>
    <row r="221" spans="1:19">
      <c r="A221" s="185"/>
      <c r="B221" s="661"/>
      <c r="C221" s="185"/>
      <c r="D221" s="185"/>
      <c r="E221" s="185"/>
      <c r="F221" s="185"/>
      <c r="G221" s="185"/>
      <c r="H221" s="186"/>
      <c r="I221" s="186"/>
      <c r="J221" s="186"/>
      <c r="K221" s="185"/>
      <c r="L221" s="185"/>
      <c r="M221" s="186"/>
      <c r="N221" s="185"/>
      <c r="O221" s="185"/>
      <c r="P221" s="185"/>
      <c r="Q221" s="185"/>
      <c r="R221" s="185"/>
      <c r="S221" s="185"/>
    </row>
    <row r="222" spans="1:19">
      <c r="A222" s="185"/>
      <c r="B222" s="661"/>
      <c r="C222" s="185"/>
      <c r="D222" s="185"/>
      <c r="E222" s="185"/>
      <c r="F222" s="185"/>
      <c r="G222" s="185"/>
      <c r="H222" s="186"/>
      <c r="I222" s="186"/>
      <c r="J222" s="186"/>
      <c r="K222" s="185"/>
      <c r="L222" s="185"/>
      <c r="M222" s="186"/>
      <c r="N222" s="185"/>
      <c r="O222" s="185"/>
      <c r="P222" s="185"/>
      <c r="Q222" s="185"/>
      <c r="R222" s="185"/>
      <c r="S222" s="185"/>
    </row>
    <row r="223" spans="1:19">
      <c r="A223" s="185"/>
      <c r="B223" s="661"/>
      <c r="C223" s="185"/>
      <c r="D223" s="185"/>
      <c r="E223" s="185"/>
      <c r="F223" s="185"/>
      <c r="G223" s="185"/>
      <c r="H223" s="186"/>
      <c r="I223" s="186"/>
      <c r="J223" s="186"/>
      <c r="K223" s="185"/>
      <c r="L223" s="185"/>
      <c r="M223" s="186"/>
      <c r="N223" s="185"/>
      <c r="O223" s="185"/>
      <c r="P223" s="185"/>
      <c r="Q223" s="185"/>
      <c r="R223" s="185"/>
      <c r="S223" s="185"/>
    </row>
    <row r="224" spans="1:19">
      <c r="A224" s="185"/>
      <c r="B224" s="661"/>
      <c r="C224" s="185"/>
      <c r="D224" s="185"/>
      <c r="E224" s="185"/>
      <c r="F224" s="185"/>
      <c r="G224" s="185"/>
      <c r="H224" s="186"/>
      <c r="I224" s="186"/>
      <c r="J224" s="186"/>
      <c r="K224" s="185"/>
      <c r="L224" s="185"/>
      <c r="M224" s="186"/>
      <c r="N224" s="185"/>
      <c r="O224" s="185"/>
      <c r="P224" s="185"/>
      <c r="Q224" s="185"/>
      <c r="R224" s="185"/>
      <c r="S224" s="185"/>
    </row>
    <row r="225" spans="1:19">
      <c r="A225" s="185"/>
      <c r="B225" s="661"/>
      <c r="C225" s="185"/>
      <c r="D225" s="185"/>
      <c r="E225" s="185"/>
      <c r="F225" s="185"/>
      <c r="G225" s="185"/>
      <c r="H225" s="186"/>
      <c r="I225" s="186"/>
      <c r="J225" s="186"/>
      <c r="K225" s="185"/>
      <c r="L225" s="185"/>
      <c r="M225" s="186"/>
      <c r="N225" s="185"/>
      <c r="O225" s="185"/>
      <c r="P225" s="185"/>
      <c r="Q225" s="185"/>
      <c r="R225" s="185"/>
      <c r="S225" s="185"/>
    </row>
    <row r="226" spans="1:19">
      <c r="A226" s="185"/>
      <c r="B226" s="661"/>
      <c r="C226" s="185"/>
      <c r="D226" s="185"/>
      <c r="E226" s="185"/>
      <c r="F226" s="185"/>
      <c r="G226" s="185"/>
      <c r="H226" s="186"/>
      <c r="I226" s="186"/>
      <c r="J226" s="186"/>
      <c r="K226" s="185"/>
      <c r="L226" s="185"/>
      <c r="M226" s="186"/>
      <c r="N226" s="185"/>
      <c r="O226" s="185"/>
      <c r="P226" s="185"/>
      <c r="Q226" s="185"/>
      <c r="R226" s="185"/>
      <c r="S226" s="185"/>
    </row>
    <row r="227" spans="1:19">
      <c r="A227" s="185"/>
      <c r="B227" s="661"/>
      <c r="C227" s="185"/>
      <c r="D227" s="185"/>
      <c r="E227" s="185"/>
      <c r="F227" s="185"/>
      <c r="G227" s="185"/>
      <c r="H227" s="186"/>
      <c r="I227" s="186"/>
      <c r="J227" s="186"/>
      <c r="K227" s="185"/>
      <c r="L227" s="185"/>
      <c r="M227" s="186"/>
      <c r="N227" s="185"/>
      <c r="O227" s="185"/>
      <c r="P227" s="185"/>
      <c r="Q227" s="185"/>
      <c r="R227" s="185"/>
      <c r="S227" s="185"/>
    </row>
    <row r="228" spans="1:19">
      <c r="A228" s="185"/>
      <c r="B228" s="661"/>
      <c r="C228" s="185"/>
      <c r="D228" s="185"/>
      <c r="E228" s="185"/>
      <c r="F228" s="185"/>
      <c r="G228" s="185"/>
      <c r="H228" s="186"/>
      <c r="I228" s="186"/>
      <c r="J228" s="186"/>
      <c r="K228" s="185"/>
      <c r="L228" s="185"/>
      <c r="M228" s="186"/>
      <c r="N228" s="185"/>
      <c r="O228" s="185"/>
      <c r="P228" s="185"/>
      <c r="Q228" s="185"/>
      <c r="R228" s="185"/>
      <c r="S228" s="185"/>
    </row>
    <row r="229" spans="1:19">
      <c r="A229" s="185"/>
      <c r="B229" s="661"/>
      <c r="C229" s="185"/>
      <c r="D229" s="185"/>
      <c r="E229" s="185"/>
      <c r="F229" s="185"/>
      <c r="G229" s="185"/>
      <c r="H229" s="186"/>
      <c r="I229" s="186"/>
      <c r="J229" s="186"/>
      <c r="K229" s="185"/>
      <c r="L229" s="185"/>
      <c r="M229" s="186"/>
      <c r="N229" s="185"/>
      <c r="O229" s="185"/>
      <c r="P229" s="185"/>
      <c r="Q229" s="185"/>
      <c r="R229" s="185"/>
      <c r="S229" s="185"/>
    </row>
    <row r="230" spans="1:19">
      <c r="A230" s="185"/>
      <c r="B230" s="661"/>
      <c r="C230" s="185"/>
      <c r="D230" s="185"/>
      <c r="E230" s="185"/>
      <c r="F230" s="185"/>
      <c r="G230" s="185"/>
      <c r="H230" s="186"/>
      <c r="I230" s="186"/>
      <c r="J230" s="186"/>
      <c r="K230" s="185"/>
      <c r="L230" s="185"/>
      <c r="M230" s="186"/>
      <c r="N230" s="185"/>
      <c r="O230" s="185"/>
      <c r="P230" s="185"/>
      <c r="Q230" s="185"/>
      <c r="R230" s="185"/>
      <c r="S230" s="185"/>
    </row>
    <row r="231" spans="1:19">
      <c r="A231" s="185"/>
      <c r="B231" s="661"/>
      <c r="C231" s="185"/>
      <c r="D231" s="185"/>
      <c r="E231" s="185"/>
      <c r="F231" s="185"/>
      <c r="G231" s="185"/>
      <c r="H231" s="186"/>
      <c r="I231" s="186"/>
      <c r="J231" s="186"/>
      <c r="K231" s="185"/>
      <c r="L231" s="185"/>
      <c r="M231" s="186"/>
      <c r="N231" s="185"/>
      <c r="O231" s="185"/>
      <c r="P231" s="185"/>
      <c r="Q231" s="185"/>
      <c r="R231" s="185"/>
      <c r="S231" s="185"/>
    </row>
    <row r="232" spans="1:19">
      <c r="A232" s="185"/>
      <c r="B232" s="661"/>
      <c r="C232" s="185"/>
      <c r="D232" s="185"/>
      <c r="E232" s="185"/>
      <c r="F232" s="185"/>
      <c r="G232" s="185"/>
      <c r="H232" s="186"/>
      <c r="I232" s="186"/>
      <c r="J232" s="186"/>
      <c r="K232" s="185"/>
      <c r="L232" s="185"/>
      <c r="M232" s="186"/>
      <c r="N232" s="185"/>
      <c r="O232" s="185"/>
      <c r="P232" s="185"/>
      <c r="Q232" s="185"/>
      <c r="R232" s="185"/>
      <c r="S232" s="185"/>
    </row>
    <row r="233" spans="1:19">
      <c r="A233" s="185"/>
      <c r="B233" s="661"/>
      <c r="C233" s="185"/>
      <c r="D233" s="185"/>
      <c r="E233" s="185"/>
      <c r="F233" s="185"/>
      <c r="G233" s="185"/>
      <c r="H233" s="186"/>
      <c r="I233" s="186"/>
      <c r="J233" s="186"/>
      <c r="K233" s="185"/>
      <c r="L233" s="185"/>
      <c r="M233" s="186"/>
      <c r="N233" s="185"/>
      <c r="O233" s="185"/>
      <c r="P233" s="185"/>
      <c r="Q233" s="185"/>
      <c r="R233" s="185"/>
      <c r="S233" s="185"/>
    </row>
    <row r="234" spans="1:19">
      <c r="A234" s="185"/>
      <c r="B234" s="661"/>
      <c r="C234" s="185"/>
      <c r="D234" s="185"/>
      <c r="E234" s="185"/>
      <c r="F234" s="185"/>
      <c r="G234" s="185"/>
      <c r="H234" s="186"/>
      <c r="I234" s="186"/>
      <c r="J234" s="186"/>
      <c r="K234" s="185"/>
      <c r="L234" s="185"/>
      <c r="M234" s="186"/>
      <c r="N234" s="185"/>
      <c r="O234" s="185"/>
      <c r="P234" s="185"/>
      <c r="Q234" s="185"/>
      <c r="R234" s="185"/>
      <c r="S234" s="185"/>
    </row>
    <row r="235" spans="1:19">
      <c r="A235" s="185"/>
      <c r="B235" s="661"/>
      <c r="C235" s="185"/>
      <c r="D235" s="185"/>
      <c r="E235" s="185"/>
      <c r="F235" s="185"/>
      <c r="G235" s="185"/>
      <c r="H235" s="186"/>
      <c r="I235" s="186"/>
      <c r="J235" s="186"/>
      <c r="K235" s="185"/>
      <c r="L235" s="185"/>
      <c r="M235" s="186"/>
      <c r="N235" s="185"/>
      <c r="O235" s="185"/>
      <c r="P235" s="185"/>
      <c r="Q235" s="185"/>
      <c r="R235" s="185"/>
      <c r="S235" s="185"/>
    </row>
    <row r="236" spans="1:19">
      <c r="A236" s="185"/>
      <c r="B236" s="661"/>
      <c r="C236" s="185"/>
      <c r="D236" s="185"/>
      <c r="E236" s="185"/>
      <c r="F236" s="185"/>
      <c r="G236" s="185"/>
      <c r="H236" s="186"/>
      <c r="I236" s="186"/>
      <c r="J236" s="186"/>
      <c r="K236" s="185"/>
      <c r="L236" s="185"/>
      <c r="M236" s="186"/>
      <c r="N236" s="185"/>
      <c r="O236" s="185"/>
      <c r="P236" s="185"/>
      <c r="Q236" s="185"/>
      <c r="R236" s="185"/>
      <c r="S236" s="185"/>
    </row>
    <row r="237" spans="1:19">
      <c r="A237" s="185"/>
      <c r="B237" s="661"/>
      <c r="C237" s="185"/>
      <c r="D237" s="185"/>
      <c r="E237" s="185"/>
      <c r="F237" s="185"/>
      <c r="G237" s="185"/>
      <c r="H237" s="186"/>
      <c r="I237" s="186"/>
      <c r="J237" s="186"/>
      <c r="K237" s="185"/>
      <c r="L237" s="185"/>
      <c r="M237" s="186"/>
      <c r="N237" s="185"/>
      <c r="O237" s="185"/>
      <c r="P237" s="185"/>
      <c r="Q237" s="185"/>
      <c r="R237" s="185"/>
      <c r="S237" s="185"/>
    </row>
    <row r="238" spans="1:19">
      <c r="A238" s="185"/>
      <c r="B238" s="661"/>
      <c r="C238" s="185"/>
      <c r="D238" s="185"/>
      <c r="E238" s="185"/>
      <c r="F238" s="185"/>
      <c r="G238" s="185"/>
      <c r="H238" s="186"/>
      <c r="I238" s="186"/>
      <c r="J238" s="186"/>
      <c r="K238" s="185"/>
      <c r="L238" s="185"/>
      <c r="M238" s="186"/>
      <c r="N238" s="185"/>
      <c r="O238" s="185"/>
      <c r="P238" s="185"/>
      <c r="Q238" s="185"/>
      <c r="R238" s="185"/>
      <c r="S238" s="185"/>
    </row>
    <row r="239" spans="1:19">
      <c r="A239" s="185"/>
      <c r="B239" s="661"/>
      <c r="C239" s="185"/>
      <c r="D239" s="185"/>
      <c r="E239" s="185"/>
      <c r="F239" s="185"/>
      <c r="G239" s="185"/>
      <c r="H239" s="186"/>
      <c r="I239" s="186"/>
      <c r="J239" s="186"/>
      <c r="K239" s="185"/>
      <c r="L239" s="185"/>
      <c r="M239" s="186"/>
      <c r="N239" s="185"/>
      <c r="O239" s="185"/>
      <c r="P239" s="185"/>
      <c r="Q239" s="185"/>
      <c r="R239" s="185"/>
      <c r="S239" s="185"/>
    </row>
    <row r="240" spans="1:19">
      <c r="A240" s="185"/>
      <c r="B240" s="661"/>
      <c r="C240" s="185"/>
      <c r="D240" s="185"/>
      <c r="E240" s="185"/>
      <c r="F240" s="185"/>
      <c r="G240" s="185"/>
      <c r="H240" s="186"/>
      <c r="I240" s="186"/>
      <c r="J240" s="186"/>
      <c r="K240" s="185"/>
      <c r="L240" s="185"/>
      <c r="M240" s="186"/>
      <c r="N240" s="185"/>
      <c r="O240" s="185"/>
      <c r="P240" s="185"/>
      <c r="Q240" s="185"/>
      <c r="R240" s="185"/>
      <c r="S240" s="185"/>
    </row>
    <row r="241" spans="1:19">
      <c r="A241" s="185"/>
      <c r="B241" s="661"/>
      <c r="C241" s="185"/>
      <c r="D241" s="185"/>
      <c r="E241" s="185"/>
      <c r="F241" s="185"/>
      <c r="G241" s="185"/>
      <c r="H241" s="186"/>
      <c r="I241" s="186"/>
      <c r="J241" s="186"/>
      <c r="K241" s="185"/>
      <c r="L241" s="185"/>
      <c r="M241" s="186"/>
      <c r="N241" s="185"/>
      <c r="O241" s="185"/>
      <c r="P241" s="185"/>
      <c r="Q241" s="185"/>
      <c r="R241" s="185"/>
      <c r="S241" s="185"/>
    </row>
    <row r="242" spans="1:19">
      <c r="A242" s="185"/>
      <c r="B242" s="661"/>
      <c r="C242" s="185"/>
      <c r="D242" s="185"/>
      <c r="E242" s="185"/>
      <c r="F242" s="185"/>
      <c r="G242" s="185"/>
      <c r="H242" s="186"/>
      <c r="I242" s="186"/>
      <c r="J242" s="186"/>
      <c r="K242" s="185"/>
      <c r="L242" s="185"/>
      <c r="M242" s="186"/>
      <c r="N242" s="185"/>
      <c r="O242" s="185"/>
      <c r="P242" s="185"/>
      <c r="Q242" s="185"/>
      <c r="R242" s="185"/>
      <c r="S242" s="185"/>
    </row>
    <row r="243" spans="1:19">
      <c r="A243" s="185"/>
      <c r="B243" s="661"/>
      <c r="C243" s="185"/>
      <c r="D243" s="185"/>
      <c r="E243" s="185"/>
      <c r="F243" s="185"/>
      <c r="G243" s="185"/>
      <c r="H243" s="186"/>
      <c r="I243" s="186"/>
      <c r="J243" s="186"/>
      <c r="K243" s="185"/>
      <c r="L243" s="185"/>
      <c r="M243" s="186"/>
      <c r="N243" s="185"/>
      <c r="O243" s="185"/>
      <c r="P243" s="185"/>
      <c r="Q243" s="185"/>
      <c r="R243" s="185"/>
      <c r="S243" s="185"/>
    </row>
    <row r="244" spans="1:19">
      <c r="A244" s="185"/>
      <c r="B244" s="661"/>
      <c r="C244" s="185"/>
      <c r="D244" s="185"/>
      <c r="E244" s="185"/>
      <c r="F244" s="185"/>
      <c r="G244" s="185"/>
      <c r="H244" s="186"/>
      <c r="I244" s="186"/>
      <c r="J244" s="186"/>
      <c r="K244" s="185"/>
      <c r="L244" s="185"/>
      <c r="M244" s="186"/>
      <c r="N244" s="185"/>
      <c r="O244" s="185"/>
      <c r="P244" s="185"/>
      <c r="Q244" s="185"/>
      <c r="R244" s="185"/>
      <c r="S244" s="185"/>
    </row>
    <row r="245" spans="1:19">
      <c r="A245" s="185"/>
      <c r="B245" s="661"/>
      <c r="C245" s="185"/>
      <c r="D245" s="185"/>
      <c r="E245" s="185"/>
      <c r="F245" s="185"/>
      <c r="G245" s="185"/>
      <c r="H245" s="186"/>
      <c r="I245" s="186"/>
      <c r="J245" s="186"/>
      <c r="K245" s="185"/>
      <c r="L245" s="185"/>
      <c r="M245" s="186"/>
      <c r="N245" s="185"/>
      <c r="O245" s="185"/>
      <c r="P245" s="185"/>
      <c r="Q245" s="185"/>
      <c r="R245" s="185"/>
      <c r="S245" s="185"/>
    </row>
    <row r="246" spans="1:19">
      <c r="A246" s="185"/>
      <c r="B246" s="661"/>
      <c r="C246" s="185"/>
      <c r="D246" s="185"/>
      <c r="E246" s="185"/>
      <c r="F246" s="185"/>
      <c r="G246" s="185"/>
      <c r="H246" s="186"/>
      <c r="I246" s="186"/>
      <c r="J246" s="186"/>
      <c r="K246" s="185"/>
      <c r="L246" s="185"/>
      <c r="M246" s="186"/>
      <c r="N246" s="185"/>
      <c r="O246" s="185"/>
      <c r="P246" s="185"/>
      <c r="Q246" s="185"/>
      <c r="R246" s="185"/>
      <c r="S246" s="185"/>
    </row>
    <row r="247" spans="1:19">
      <c r="A247" s="185"/>
      <c r="B247" s="661"/>
      <c r="C247" s="185"/>
      <c r="D247" s="185"/>
      <c r="E247" s="185"/>
      <c r="F247" s="185"/>
      <c r="G247" s="185"/>
      <c r="H247" s="186"/>
      <c r="I247" s="186"/>
      <c r="J247" s="186"/>
      <c r="K247" s="185"/>
      <c r="L247" s="185"/>
      <c r="M247" s="186"/>
      <c r="N247" s="185"/>
      <c r="O247" s="185"/>
      <c r="P247" s="185"/>
      <c r="Q247" s="185"/>
      <c r="R247" s="185"/>
      <c r="S247" s="185"/>
    </row>
    <row r="248" spans="1:19">
      <c r="A248" s="185"/>
      <c r="B248" s="661"/>
      <c r="C248" s="185"/>
      <c r="D248" s="185"/>
      <c r="E248" s="185"/>
      <c r="F248" s="185"/>
      <c r="G248" s="185"/>
      <c r="H248" s="186"/>
      <c r="I248" s="186"/>
      <c r="J248" s="186"/>
      <c r="K248" s="185"/>
      <c r="L248" s="185"/>
      <c r="M248" s="186"/>
      <c r="N248" s="185"/>
      <c r="O248" s="185"/>
      <c r="P248" s="185"/>
      <c r="Q248" s="185"/>
      <c r="R248" s="185"/>
      <c r="S248" s="185"/>
    </row>
    <row r="249" spans="1:19">
      <c r="A249" s="185"/>
      <c r="B249" s="661"/>
      <c r="C249" s="185"/>
      <c r="D249" s="185"/>
      <c r="E249" s="185"/>
      <c r="F249" s="185"/>
      <c r="G249" s="185"/>
      <c r="H249" s="186"/>
      <c r="I249" s="186"/>
      <c r="J249" s="186"/>
      <c r="K249" s="185"/>
      <c r="L249" s="185"/>
      <c r="M249" s="186"/>
      <c r="N249" s="185"/>
      <c r="O249" s="185"/>
      <c r="P249" s="185"/>
      <c r="Q249" s="185"/>
      <c r="R249" s="185"/>
      <c r="S249" s="185"/>
    </row>
    <row r="250" spans="1:19">
      <c r="A250" s="185"/>
      <c r="B250" s="661"/>
      <c r="C250" s="185"/>
      <c r="D250" s="185"/>
      <c r="E250" s="185"/>
      <c r="F250" s="185"/>
      <c r="G250" s="185"/>
      <c r="H250" s="186"/>
      <c r="I250" s="186"/>
      <c r="J250" s="186"/>
      <c r="K250" s="185"/>
      <c r="L250" s="185"/>
      <c r="M250" s="186"/>
      <c r="N250" s="185"/>
      <c r="O250" s="185"/>
      <c r="P250" s="185"/>
      <c r="Q250" s="185"/>
      <c r="R250" s="185"/>
      <c r="S250" s="185"/>
    </row>
    <row r="251" spans="1:19">
      <c r="A251" s="185"/>
      <c r="B251" s="661"/>
      <c r="C251" s="185"/>
      <c r="D251" s="185"/>
      <c r="E251" s="185"/>
      <c r="F251" s="185"/>
      <c r="G251" s="185"/>
      <c r="H251" s="186"/>
      <c r="I251" s="186"/>
      <c r="J251" s="186"/>
      <c r="K251" s="185"/>
      <c r="L251" s="185"/>
      <c r="M251" s="186"/>
      <c r="N251" s="185"/>
      <c r="O251" s="185"/>
      <c r="P251" s="185"/>
      <c r="Q251" s="185"/>
      <c r="R251" s="185"/>
      <c r="S251" s="185"/>
    </row>
    <row r="252" spans="1:19">
      <c r="A252" s="185"/>
      <c r="B252" s="661"/>
      <c r="C252" s="185"/>
      <c r="D252" s="185"/>
      <c r="E252" s="185"/>
      <c r="F252" s="185"/>
      <c r="G252" s="185"/>
      <c r="H252" s="186"/>
      <c r="I252" s="186"/>
      <c r="J252" s="186"/>
      <c r="K252" s="185"/>
      <c r="L252" s="185"/>
      <c r="M252" s="186"/>
      <c r="N252" s="185"/>
      <c r="O252" s="185"/>
      <c r="P252" s="185"/>
      <c r="Q252" s="185"/>
      <c r="R252" s="185"/>
      <c r="S252" s="185"/>
    </row>
    <row r="253" spans="1:19">
      <c r="A253" s="185"/>
      <c r="B253" s="661"/>
      <c r="C253" s="185"/>
      <c r="D253" s="185"/>
      <c r="E253" s="185"/>
      <c r="F253" s="185"/>
      <c r="G253" s="185"/>
      <c r="H253" s="186"/>
      <c r="I253" s="186"/>
      <c r="J253" s="186"/>
      <c r="K253" s="185"/>
      <c r="L253" s="185"/>
      <c r="M253" s="186"/>
      <c r="N253" s="185"/>
      <c r="O253" s="185"/>
      <c r="P253" s="185"/>
      <c r="Q253" s="185"/>
      <c r="R253" s="185"/>
      <c r="S253" s="185"/>
    </row>
    <row r="254" spans="1:19">
      <c r="A254" s="185"/>
      <c r="B254" s="661"/>
      <c r="C254" s="185"/>
      <c r="D254" s="185"/>
      <c r="E254" s="185"/>
      <c r="F254" s="185"/>
      <c r="G254" s="185"/>
      <c r="H254" s="186"/>
      <c r="I254" s="186"/>
      <c r="J254" s="186"/>
      <c r="K254" s="185"/>
      <c r="L254" s="185"/>
      <c r="M254" s="186"/>
      <c r="N254" s="185"/>
      <c r="O254" s="185"/>
      <c r="P254" s="185"/>
      <c r="Q254" s="185"/>
      <c r="R254" s="185"/>
      <c r="S254" s="185"/>
    </row>
    <row r="255" spans="1:19">
      <c r="A255" s="185"/>
      <c r="B255" s="661"/>
      <c r="C255" s="185"/>
      <c r="D255" s="185"/>
      <c r="E255" s="185"/>
      <c r="F255" s="185"/>
      <c r="G255" s="185"/>
      <c r="H255" s="186"/>
      <c r="I255" s="186"/>
      <c r="J255" s="186"/>
      <c r="K255" s="185"/>
      <c r="L255" s="185"/>
      <c r="M255" s="186"/>
      <c r="N255" s="185"/>
      <c r="O255" s="185"/>
      <c r="P255" s="185"/>
      <c r="Q255" s="185"/>
      <c r="R255" s="185"/>
      <c r="S255" s="185"/>
    </row>
    <row r="256" spans="1:19">
      <c r="A256" s="185"/>
      <c r="B256" s="661"/>
      <c r="C256" s="185"/>
      <c r="D256" s="185"/>
      <c r="E256" s="185"/>
      <c r="F256" s="185"/>
      <c r="G256" s="185"/>
      <c r="H256" s="186"/>
      <c r="I256" s="186"/>
      <c r="J256" s="186"/>
      <c r="K256" s="185"/>
      <c r="L256" s="185"/>
      <c r="M256" s="186"/>
      <c r="N256" s="185"/>
      <c r="O256" s="185"/>
      <c r="P256" s="185"/>
      <c r="Q256" s="185"/>
      <c r="R256" s="185"/>
      <c r="S256" s="185"/>
    </row>
    <row r="257" spans="1:19">
      <c r="A257" s="185"/>
      <c r="B257" s="661"/>
      <c r="C257" s="185"/>
      <c r="D257" s="185"/>
      <c r="E257" s="185"/>
      <c r="F257" s="185"/>
      <c r="G257" s="185"/>
      <c r="H257" s="186"/>
      <c r="I257" s="186"/>
      <c r="J257" s="186"/>
      <c r="K257" s="185"/>
      <c r="L257" s="185"/>
      <c r="M257" s="186"/>
      <c r="N257" s="185"/>
      <c r="O257" s="185"/>
      <c r="P257" s="185"/>
      <c r="Q257" s="185"/>
      <c r="R257" s="185"/>
      <c r="S257" s="185"/>
    </row>
    <row r="258" spans="1:19">
      <c r="A258" s="185"/>
      <c r="B258" s="661"/>
      <c r="C258" s="185"/>
      <c r="D258" s="185"/>
      <c r="E258" s="185"/>
      <c r="F258" s="185"/>
      <c r="G258" s="185"/>
      <c r="H258" s="186"/>
      <c r="I258" s="186"/>
      <c r="J258" s="186"/>
      <c r="K258" s="185"/>
      <c r="L258" s="185"/>
      <c r="M258" s="186"/>
      <c r="N258" s="185"/>
      <c r="O258" s="185"/>
      <c r="P258" s="185"/>
      <c r="Q258" s="185"/>
      <c r="R258" s="185"/>
      <c r="S258" s="185"/>
    </row>
    <row r="259" spans="1:19">
      <c r="A259" s="185"/>
      <c r="B259" s="661"/>
      <c r="C259" s="185"/>
      <c r="D259" s="185"/>
      <c r="E259" s="185"/>
      <c r="F259" s="185"/>
      <c r="G259" s="185"/>
      <c r="H259" s="186"/>
      <c r="I259" s="186"/>
      <c r="J259" s="186"/>
      <c r="K259" s="185"/>
      <c r="L259" s="185"/>
      <c r="M259" s="186"/>
      <c r="N259" s="185"/>
      <c r="O259" s="185"/>
      <c r="P259" s="185"/>
      <c r="Q259" s="185"/>
      <c r="R259" s="185"/>
      <c r="S259" s="185"/>
    </row>
    <row r="260" spans="1:19">
      <c r="A260" s="185"/>
      <c r="B260" s="661"/>
      <c r="C260" s="185"/>
      <c r="D260" s="185"/>
      <c r="E260" s="185"/>
      <c r="F260" s="185"/>
      <c r="G260" s="185"/>
      <c r="H260" s="186"/>
      <c r="I260" s="186"/>
      <c r="J260" s="186"/>
      <c r="K260" s="185"/>
      <c r="L260" s="185"/>
      <c r="M260" s="186"/>
      <c r="N260" s="185"/>
      <c r="O260" s="185"/>
      <c r="P260" s="185"/>
      <c r="Q260" s="185"/>
      <c r="R260" s="185"/>
      <c r="S260" s="185"/>
    </row>
    <row r="261" spans="1:19">
      <c r="A261" s="185"/>
      <c r="B261" s="661"/>
      <c r="C261" s="185"/>
      <c r="D261" s="185"/>
      <c r="E261" s="185"/>
      <c r="F261" s="185"/>
      <c r="G261" s="185"/>
      <c r="H261" s="186"/>
      <c r="I261" s="186"/>
      <c r="J261" s="186"/>
      <c r="K261" s="185"/>
      <c r="L261" s="185"/>
      <c r="M261" s="186"/>
      <c r="N261" s="185"/>
      <c r="O261" s="185"/>
      <c r="P261" s="185"/>
      <c r="Q261" s="185"/>
      <c r="R261" s="185"/>
      <c r="S261" s="185"/>
    </row>
    <row r="262" spans="1:19">
      <c r="A262" s="185"/>
      <c r="B262" s="661"/>
      <c r="C262" s="185"/>
      <c r="D262" s="185"/>
      <c r="E262" s="185"/>
      <c r="F262" s="185"/>
      <c r="G262" s="185"/>
      <c r="H262" s="186"/>
      <c r="I262" s="186"/>
      <c r="J262" s="186"/>
      <c r="K262" s="185"/>
      <c r="L262" s="185"/>
      <c r="M262" s="186"/>
      <c r="N262" s="185"/>
      <c r="O262" s="185"/>
      <c r="P262" s="185"/>
      <c r="Q262" s="185"/>
      <c r="R262" s="185"/>
      <c r="S262" s="185"/>
    </row>
    <row r="263" spans="1:19">
      <c r="A263" s="185"/>
      <c r="B263" s="661"/>
      <c r="C263" s="185"/>
      <c r="D263" s="185"/>
      <c r="E263" s="185"/>
      <c r="F263" s="185"/>
      <c r="G263" s="185"/>
      <c r="H263" s="186"/>
      <c r="I263" s="186"/>
      <c r="J263" s="186"/>
      <c r="K263" s="185"/>
      <c r="L263" s="185"/>
      <c r="M263" s="186"/>
      <c r="N263" s="185"/>
      <c r="O263" s="185"/>
      <c r="P263" s="185"/>
      <c r="Q263" s="185"/>
      <c r="R263" s="185"/>
      <c r="S263" s="185"/>
    </row>
    <row r="264" spans="1:19">
      <c r="A264" s="185"/>
      <c r="B264" s="661"/>
      <c r="C264" s="185"/>
      <c r="D264" s="185"/>
      <c r="E264" s="185"/>
      <c r="F264" s="185"/>
      <c r="G264" s="185"/>
      <c r="H264" s="186"/>
      <c r="I264" s="186"/>
      <c r="J264" s="186"/>
      <c r="K264" s="185"/>
      <c r="L264" s="185"/>
      <c r="M264" s="186"/>
      <c r="N264" s="185"/>
      <c r="O264" s="185"/>
      <c r="P264" s="185"/>
      <c r="Q264" s="185"/>
      <c r="R264" s="185"/>
      <c r="S264" s="185"/>
    </row>
    <row r="265" spans="1:19">
      <c r="A265" s="185"/>
      <c r="B265" s="661"/>
      <c r="C265" s="185"/>
      <c r="D265" s="185"/>
      <c r="E265" s="185"/>
      <c r="F265" s="185"/>
      <c r="G265" s="185"/>
      <c r="H265" s="186"/>
      <c r="I265" s="186"/>
      <c r="J265" s="186"/>
      <c r="K265" s="185"/>
      <c r="L265" s="185"/>
      <c r="M265" s="186"/>
      <c r="N265" s="185"/>
      <c r="O265" s="185"/>
      <c r="P265" s="185"/>
      <c r="Q265" s="185"/>
      <c r="R265" s="185"/>
      <c r="S265" s="185"/>
    </row>
    <row r="266" spans="1:19">
      <c r="A266" s="185"/>
      <c r="B266" s="661"/>
      <c r="C266" s="185"/>
      <c r="D266" s="185"/>
      <c r="E266" s="185"/>
      <c r="F266" s="185"/>
      <c r="G266" s="185"/>
      <c r="H266" s="186"/>
      <c r="I266" s="186"/>
      <c r="J266" s="186"/>
      <c r="K266" s="185"/>
      <c r="L266" s="185"/>
      <c r="M266" s="186"/>
      <c r="N266" s="185"/>
      <c r="O266" s="185"/>
      <c r="P266" s="185"/>
      <c r="Q266" s="185"/>
      <c r="R266" s="185"/>
      <c r="S266" s="185"/>
    </row>
    <row r="267" spans="1:19">
      <c r="A267" s="185"/>
      <c r="B267" s="661"/>
      <c r="C267" s="185"/>
      <c r="D267" s="185"/>
      <c r="E267" s="185"/>
      <c r="F267" s="185"/>
      <c r="G267" s="185"/>
      <c r="H267" s="186"/>
      <c r="I267" s="186"/>
      <c r="J267" s="186"/>
      <c r="K267" s="185"/>
      <c r="L267" s="185"/>
      <c r="M267" s="186"/>
      <c r="N267" s="185"/>
      <c r="O267" s="185"/>
      <c r="P267" s="185"/>
      <c r="Q267" s="185"/>
      <c r="R267" s="185"/>
      <c r="S267" s="185"/>
    </row>
    <row r="268" spans="1:19">
      <c r="A268" s="185"/>
      <c r="B268" s="661"/>
      <c r="C268" s="185"/>
      <c r="D268" s="185"/>
      <c r="E268" s="185"/>
      <c r="F268" s="185"/>
      <c r="G268" s="185"/>
      <c r="H268" s="186"/>
      <c r="I268" s="186"/>
      <c r="J268" s="186"/>
      <c r="K268" s="185"/>
      <c r="L268" s="185"/>
      <c r="M268" s="186"/>
      <c r="N268" s="185"/>
      <c r="O268" s="185"/>
      <c r="P268" s="185"/>
      <c r="Q268" s="185"/>
      <c r="R268" s="185"/>
      <c r="S268" s="185"/>
    </row>
    <row r="269" spans="1:19">
      <c r="A269" s="185"/>
      <c r="B269" s="661"/>
      <c r="C269" s="185"/>
      <c r="D269" s="185"/>
      <c r="E269" s="185"/>
      <c r="F269" s="185"/>
      <c r="G269" s="185"/>
      <c r="H269" s="186"/>
      <c r="I269" s="186"/>
      <c r="J269" s="186"/>
      <c r="K269" s="185"/>
      <c r="L269" s="185"/>
      <c r="M269" s="186"/>
      <c r="N269" s="185"/>
      <c r="O269" s="185"/>
      <c r="P269" s="185"/>
      <c r="Q269" s="185"/>
      <c r="R269" s="185"/>
      <c r="S269" s="185"/>
    </row>
    <row r="270" spans="1:19">
      <c r="A270" s="185"/>
      <c r="B270" s="661"/>
      <c r="C270" s="185"/>
      <c r="D270" s="185"/>
      <c r="E270" s="185"/>
      <c r="F270" s="185"/>
      <c r="G270" s="185"/>
      <c r="H270" s="186"/>
      <c r="I270" s="186"/>
      <c r="J270" s="186"/>
      <c r="K270" s="185"/>
      <c r="L270" s="185"/>
      <c r="M270" s="186"/>
      <c r="N270" s="185"/>
      <c r="O270" s="185"/>
      <c r="P270" s="185"/>
      <c r="Q270" s="185"/>
      <c r="R270" s="185"/>
      <c r="S270" s="185"/>
    </row>
    <row r="271" spans="1:19">
      <c r="A271" s="185"/>
      <c r="B271" s="661"/>
      <c r="C271" s="185"/>
      <c r="D271" s="185"/>
      <c r="E271" s="185"/>
      <c r="F271" s="185"/>
      <c r="G271" s="185"/>
      <c r="H271" s="186"/>
      <c r="I271" s="186"/>
      <c r="J271" s="186"/>
      <c r="K271" s="185"/>
      <c r="L271" s="185"/>
      <c r="M271" s="186"/>
      <c r="N271" s="185"/>
      <c r="O271" s="185"/>
      <c r="P271" s="185"/>
      <c r="Q271" s="185"/>
      <c r="R271" s="185"/>
      <c r="S271" s="185"/>
    </row>
    <row r="272" spans="1:19">
      <c r="A272" s="185"/>
      <c r="B272" s="661"/>
      <c r="C272" s="185"/>
      <c r="D272" s="185"/>
      <c r="E272" s="185"/>
      <c r="F272" s="185"/>
      <c r="G272" s="185"/>
      <c r="H272" s="186"/>
      <c r="I272" s="186"/>
      <c r="J272" s="186"/>
      <c r="K272" s="185"/>
      <c r="L272" s="185"/>
      <c r="M272" s="186"/>
      <c r="N272" s="185"/>
      <c r="O272" s="185"/>
      <c r="P272" s="185"/>
      <c r="Q272" s="185"/>
      <c r="R272" s="185"/>
      <c r="S272" s="185"/>
    </row>
    <row r="273" spans="1:19">
      <c r="A273" s="185"/>
      <c r="B273" s="661"/>
      <c r="C273" s="185"/>
      <c r="D273" s="185"/>
      <c r="E273" s="185"/>
      <c r="F273" s="185"/>
      <c r="G273" s="185"/>
      <c r="H273" s="186"/>
      <c r="I273" s="186"/>
      <c r="J273" s="186"/>
      <c r="K273" s="185"/>
      <c r="L273" s="185"/>
      <c r="M273" s="186"/>
      <c r="N273" s="185"/>
      <c r="O273" s="185"/>
      <c r="P273" s="185"/>
      <c r="Q273" s="185"/>
      <c r="R273" s="185"/>
      <c r="S273" s="185"/>
    </row>
    <row r="274" spans="1:19">
      <c r="A274" s="185"/>
      <c r="B274" s="661"/>
      <c r="C274" s="185"/>
      <c r="D274" s="185"/>
      <c r="E274" s="185"/>
      <c r="F274" s="185"/>
      <c r="G274" s="185"/>
      <c r="H274" s="186"/>
      <c r="I274" s="186"/>
      <c r="J274" s="186"/>
      <c r="K274" s="185"/>
      <c r="L274" s="185"/>
      <c r="M274" s="186"/>
      <c r="N274" s="185"/>
      <c r="O274" s="185"/>
      <c r="P274" s="185"/>
      <c r="Q274" s="185"/>
      <c r="R274" s="185"/>
      <c r="S274" s="185"/>
    </row>
    <row r="275" spans="1:19">
      <c r="A275" s="185"/>
      <c r="B275" s="661"/>
      <c r="C275" s="185"/>
      <c r="D275" s="185"/>
      <c r="E275" s="185"/>
      <c r="F275" s="185"/>
      <c r="G275" s="185"/>
      <c r="H275" s="186"/>
      <c r="I275" s="186"/>
      <c r="J275" s="186"/>
      <c r="K275" s="185"/>
      <c r="L275" s="185"/>
      <c r="M275" s="186"/>
      <c r="N275" s="185"/>
      <c r="O275" s="185"/>
      <c r="P275" s="185"/>
      <c r="Q275" s="185"/>
      <c r="R275" s="185"/>
      <c r="S275" s="185"/>
    </row>
    <row r="276" spans="1:19">
      <c r="A276" s="185"/>
      <c r="B276" s="661"/>
      <c r="C276" s="185"/>
      <c r="D276" s="185"/>
      <c r="E276" s="185"/>
      <c r="F276" s="185"/>
      <c r="G276" s="185"/>
      <c r="H276" s="186"/>
      <c r="I276" s="186"/>
      <c r="J276" s="186"/>
      <c r="K276" s="185"/>
      <c r="L276" s="185"/>
      <c r="M276" s="186"/>
      <c r="N276" s="185"/>
      <c r="O276" s="185"/>
      <c r="P276" s="185"/>
      <c r="Q276" s="185"/>
      <c r="R276" s="185"/>
      <c r="S276" s="185"/>
    </row>
    <row r="277" spans="1:19">
      <c r="A277" s="185"/>
      <c r="B277" s="661"/>
      <c r="C277" s="185"/>
      <c r="D277" s="185"/>
      <c r="E277" s="185"/>
      <c r="F277" s="185"/>
      <c r="G277" s="185"/>
      <c r="H277" s="186"/>
      <c r="I277" s="186"/>
      <c r="J277" s="186"/>
      <c r="K277" s="185"/>
      <c r="L277" s="185"/>
      <c r="M277" s="186"/>
      <c r="N277" s="185"/>
      <c r="O277" s="185"/>
      <c r="P277" s="185"/>
      <c r="Q277" s="185"/>
      <c r="R277" s="185"/>
      <c r="S277" s="185"/>
    </row>
    <row r="278" spans="1:19">
      <c r="A278" s="185"/>
      <c r="B278" s="661"/>
      <c r="C278" s="185"/>
      <c r="D278" s="185"/>
      <c r="E278" s="185"/>
      <c r="F278" s="185"/>
      <c r="G278" s="185"/>
      <c r="H278" s="186"/>
      <c r="I278" s="186"/>
      <c r="J278" s="186"/>
      <c r="K278" s="185"/>
      <c r="L278" s="185"/>
      <c r="M278" s="186"/>
      <c r="N278" s="185"/>
      <c r="O278" s="185"/>
      <c r="P278" s="185"/>
      <c r="Q278" s="185"/>
      <c r="R278" s="185"/>
      <c r="S278" s="185"/>
    </row>
    <row r="279" spans="1:19">
      <c r="A279" s="185"/>
      <c r="B279" s="661"/>
      <c r="C279" s="185"/>
      <c r="D279" s="185"/>
      <c r="E279" s="185"/>
      <c r="F279" s="185"/>
      <c r="G279" s="185"/>
      <c r="H279" s="186"/>
      <c r="I279" s="186"/>
      <c r="J279" s="186"/>
      <c r="K279" s="185"/>
      <c r="L279" s="185"/>
      <c r="M279" s="186"/>
      <c r="N279" s="185"/>
      <c r="O279" s="185"/>
      <c r="P279" s="185"/>
      <c r="Q279" s="185"/>
      <c r="R279" s="185"/>
      <c r="S279" s="185"/>
    </row>
    <row r="280" spans="1:19">
      <c r="A280" s="185"/>
      <c r="B280" s="661"/>
      <c r="C280" s="185"/>
      <c r="D280" s="185"/>
      <c r="E280" s="185"/>
      <c r="F280" s="185"/>
      <c r="G280" s="185"/>
      <c r="H280" s="186"/>
      <c r="I280" s="186"/>
      <c r="J280" s="186"/>
      <c r="K280" s="185"/>
      <c r="L280" s="185"/>
      <c r="M280" s="186"/>
      <c r="N280" s="185"/>
      <c r="O280" s="185"/>
      <c r="P280" s="185"/>
      <c r="Q280" s="185"/>
      <c r="R280" s="185"/>
      <c r="S280" s="185"/>
    </row>
    <row r="281" spans="1:19">
      <c r="A281" s="185"/>
      <c r="B281" s="661"/>
      <c r="C281" s="185"/>
      <c r="D281" s="185"/>
      <c r="E281" s="185"/>
      <c r="F281" s="185"/>
      <c r="G281" s="185"/>
      <c r="H281" s="186"/>
      <c r="I281" s="186"/>
      <c r="J281" s="186"/>
      <c r="K281" s="185"/>
      <c r="L281" s="185"/>
      <c r="M281" s="186"/>
      <c r="N281" s="185"/>
      <c r="O281" s="185"/>
      <c r="P281" s="185"/>
      <c r="Q281" s="185"/>
      <c r="R281" s="185"/>
      <c r="S281" s="185"/>
    </row>
    <row r="282" spans="1:19">
      <c r="A282" s="185"/>
      <c r="B282" s="661"/>
      <c r="C282" s="185"/>
      <c r="D282" s="185"/>
      <c r="E282" s="185"/>
      <c r="F282" s="185"/>
      <c r="G282" s="185"/>
      <c r="H282" s="186"/>
      <c r="I282" s="186"/>
      <c r="J282" s="186"/>
      <c r="K282" s="185"/>
      <c r="L282" s="185"/>
      <c r="M282" s="186"/>
      <c r="N282" s="185"/>
      <c r="O282" s="185"/>
      <c r="P282" s="185"/>
      <c r="Q282" s="185"/>
      <c r="R282" s="185"/>
      <c r="S282" s="185"/>
    </row>
    <row r="283" spans="1:19">
      <c r="A283" s="185"/>
      <c r="B283" s="661"/>
      <c r="C283" s="185"/>
      <c r="D283" s="185"/>
      <c r="E283" s="185"/>
      <c r="F283" s="185"/>
      <c r="G283" s="185"/>
      <c r="H283" s="186"/>
      <c r="I283" s="186"/>
      <c r="J283" s="186"/>
      <c r="K283" s="185"/>
      <c r="L283" s="185"/>
      <c r="M283" s="186"/>
      <c r="N283" s="185"/>
      <c r="O283" s="185"/>
      <c r="P283" s="185"/>
      <c r="Q283" s="185"/>
      <c r="R283" s="185"/>
      <c r="S283" s="185"/>
    </row>
    <row r="284" spans="1:19">
      <c r="A284" s="185"/>
      <c r="B284" s="661"/>
      <c r="C284" s="185"/>
      <c r="D284" s="185"/>
      <c r="E284" s="185"/>
      <c r="F284" s="185"/>
      <c r="G284" s="185"/>
      <c r="H284" s="186"/>
      <c r="I284" s="186"/>
      <c r="J284" s="186"/>
      <c r="K284" s="185"/>
      <c r="L284" s="185"/>
      <c r="M284" s="186"/>
      <c r="N284" s="185"/>
      <c r="O284" s="185"/>
      <c r="P284" s="185"/>
      <c r="Q284" s="185"/>
      <c r="R284" s="185"/>
      <c r="S284" s="185"/>
    </row>
    <row r="285" spans="1:19">
      <c r="A285" s="185"/>
      <c r="B285" s="661"/>
      <c r="C285" s="185"/>
      <c r="D285" s="185"/>
      <c r="E285" s="185"/>
      <c r="F285" s="185"/>
      <c r="G285" s="185"/>
      <c r="H285" s="186"/>
      <c r="I285" s="186"/>
      <c r="J285" s="186"/>
      <c r="K285" s="185"/>
      <c r="L285" s="185"/>
      <c r="M285" s="186"/>
      <c r="N285" s="185"/>
      <c r="O285" s="185"/>
      <c r="P285" s="185"/>
      <c r="Q285" s="185"/>
      <c r="R285" s="185"/>
      <c r="S285" s="185"/>
    </row>
    <row r="286" spans="1:19">
      <c r="A286" s="185"/>
      <c r="B286" s="661"/>
      <c r="C286" s="185"/>
      <c r="D286" s="185"/>
      <c r="E286" s="185"/>
      <c r="F286" s="185"/>
      <c r="G286" s="185"/>
      <c r="H286" s="186"/>
      <c r="I286" s="186"/>
      <c r="J286" s="186"/>
      <c r="K286" s="185"/>
      <c r="L286" s="185"/>
      <c r="M286" s="186"/>
      <c r="N286" s="185"/>
      <c r="O286" s="185"/>
      <c r="P286" s="185"/>
      <c r="Q286" s="185"/>
      <c r="R286" s="185"/>
      <c r="S286" s="185"/>
    </row>
    <row r="287" spans="1:19">
      <c r="A287" s="185"/>
      <c r="B287" s="661"/>
      <c r="C287" s="185"/>
      <c r="D287" s="185"/>
      <c r="E287" s="185"/>
      <c r="F287" s="185"/>
      <c r="G287" s="185"/>
      <c r="H287" s="186"/>
      <c r="I287" s="186"/>
      <c r="J287" s="186"/>
      <c r="K287" s="185"/>
      <c r="L287" s="185"/>
      <c r="M287" s="186"/>
      <c r="N287" s="185"/>
      <c r="O287" s="185"/>
      <c r="P287" s="185"/>
      <c r="Q287" s="185"/>
      <c r="R287" s="185"/>
      <c r="S287" s="185"/>
    </row>
    <row r="288" spans="1:19">
      <c r="A288" s="185"/>
      <c r="B288" s="661"/>
      <c r="C288" s="185"/>
      <c r="D288" s="185"/>
      <c r="E288" s="185"/>
      <c r="F288" s="185"/>
      <c r="G288" s="185"/>
      <c r="H288" s="186"/>
      <c r="I288" s="186"/>
      <c r="J288" s="186"/>
      <c r="K288" s="185"/>
      <c r="L288" s="185"/>
      <c r="M288" s="186"/>
      <c r="N288" s="185"/>
      <c r="O288" s="185"/>
      <c r="P288" s="185"/>
      <c r="Q288" s="185"/>
      <c r="R288" s="185"/>
      <c r="S288" s="185"/>
    </row>
    <row r="289" spans="1:19">
      <c r="A289" s="185"/>
      <c r="B289" s="661"/>
      <c r="C289" s="185"/>
      <c r="D289" s="185"/>
      <c r="E289" s="185"/>
      <c r="F289" s="185"/>
      <c r="G289" s="185"/>
      <c r="H289" s="186"/>
      <c r="I289" s="186"/>
      <c r="J289" s="186"/>
      <c r="K289" s="185"/>
      <c r="L289" s="185"/>
      <c r="M289" s="186"/>
      <c r="N289" s="185"/>
      <c r="O289" s="185"/>
      <c r="P289" s="185"/>
      <c r="Q289" s="185"/>
      <c r="R289" s="185"/>
      <c r="S289" s="185"/>
    </row>
    <row r="290" spans="1:19">
      <c r="A290" s="185"/>
      <c r="B290" s="661"/>
      <c r="C290" s="185"/>
      <c r="D290" s="185"/>
      <c r="E290" s="185"/>
      <c r="F290" s="185"/>
      <c r="G290" s="185"/>
      <c r="H290" s="186"/>
      <c r="I290" s="186"/>
      <c r="J290" s="186"/>
      <c r="K290" s="185"/>
      <c r="L290" s="185"/>
      <c r="M290" s="186"/>
      <c r="N290" s="185"/>
      <c r="O290" s="185"/>
      <c r="P290" s="185"/>
      <c r="Q290" s="185"/>
      <c r="R290" s="185"/>
      <c r="S290" s="185"/>
    </row>
    <row r="291" spans="1:19">
      <c r="A291" s="185"/>
      <c r="B291" s="661"/>
      <c r="C291" s="185"/>
      <c r="D291" s="185"/>
      <c r="E291" s="185"/>
      <c r="F291" s="185"/>
      <c r="G291" s="185"/>
      <c r="H291" s="186"/>
      <c r="I291" s="186"/>
      <c r="J291" s="186"/>
      <c r="K291" s="185"/>
      <c r="L291" s="185"/>
      <c r="M291" s="186"/>
      <c r="N291" s="185"/>
      <c r="O291" s="185"/>
      <c r="P291" s="185"/>
      <c r="Q291" s="185"/>
      <c r="R291" s="185"/>
      <c r="S291" s="185"/>
    </row>
    <row r="292" spans="1:19">
      <c r="A292" s="185"/>
      <c r="B292" s="661"/>
      <c r="C292" s="185"/>
      <c r="D292" s="185"/>
      <c r="E292" s="185"/>
      <c r="F292" s="185"/>
      <c r="G292" s="185"/>
      <c r="H292" s="186"/>
      <c r="I292" s="186"/>
      <c r="J292" s="186"/>
      <c r="K292" s="185"/>
      <c r="L292" s="185"/>
      <c r="M292" s="186"/>
      <c r="N292" s="185"/>
      <c r="O292" s="185"/>
      <c r="P292" s="185"/>
      <c r="Q292" s="185"/>
      <c r="R292" s="185"/>
      <c r="S292" s="185"/>
    </row>
    <row r="293" spans="1:19">
      <c r="A293" s="185"/>
      <c r="B293" s="661"/>
      <c r="C293" s="185"/>
      <c r="D293" s="185"/>
      <c r="E293" s="185"/>
      <c r="F293" s="185"/>
      <c r="G293" s="185"/>
      <c r="H293" s="186"/>
      <c r="I293" s="186"/>
      <c r="J293" s="186"/>
      <c r="K293" s="185"/>
      <c r="L293" s="185"/>
      <c r="M293" s="186"/>
      <c r="N293" s="185"/>
      <c r="O293" s="185"/>
      <c r="P293" s="185"/>
      <c r="Q293" s="185"/>
      <c r="R293" s="185"/>
      <c r="S293" s="185"/>
    </row>
    <row r="294" spans="1:19">
      <c r="A294" s="185"/>
      <c r="B294" s="661"/>
      <c r="C294" s="185"/>
      <c r="D294" s="185"/>
      <c r="E294" s="185"/>
      <c r="F294" s="185"/>
      <c r="G294" s="185"/>
      <c r="H294" s="186"/>
      <c r="I294" s="186"/>
      <c r="J294" s="186"/>
      <c r="K294" s="185"/>
      <c r="L294" s="185"/>
      <c r="M294" s="186"/>
      <c r="N294" s="185"/>
      <c r="O294" s="185"/>
      <c r="P294" s="185"/>
      <c r="Q294" s="185"/>
      <c r="R294" s="185"/>
      <c r="S294" s="185"/>
    </row>
    <row r="295" spans="1:19">
      <c r="A295" s="185"/>
      <c r="B295" s="661"/>
      <c r="C295" s="185"/>
      <c r="D295" s="185"/>
      <c r="E295" s="185"/>
      <c r="F295" s="185"/>
      <c r="G295" s="185"/>
      <c r="H295" s="186"/>
      <c r="I295" s="186"/>
      <c r="J295" s="186"/>
      <c r="K295" s="185"/>
      <c r="L295" s="185"/>
      <c r="M295" s="186"/>
      <c r="N295" s="185"/>
      <c r="O295" s="185"/>
      <c r="P295" s="185"/>
      <c r="Q295" s="185"/>
      <c r="R295" s="185"/>
      <c r="S295" s="185"/>
    </row>
    <row r="296" spans="1:19">
      <c r="A296" s="185"/>
      <c r="B296" s="661"/>
      <c r="C296" s="185"/>
      <c r="D296" s="185"/>
      <c r="E296" s="185"/>
      <c r="F296" s="185"/>
      <c r="G296" s="185"/>
      <c r="H296" s="186"/>
      <c r="I296" s="186"/>
      <c r="J296" s="186"/>
      <c r="K296" s="185"/>
      <c r="L296" s="185"/>
      <c r="M296" s="186"/>
      <c r="N296" s="185"/>
      <c r="O296" s="185"/>
      <c r="P296" s="185"/>
      <c r="Q296" s="185"/>
      <c r="R296" s="185"/>
      <c r="S296" s="185"/>
    </row>
    <row r="297" spans="1:19">
      <c r="A297" s="185"/>
      <c r="B297" s="661"/>
      <c r="C297" s="185"/>
      <c r="D297" s="185"/>
      <c r="E297" s="185"/>
      <c r="F297" s="185"/>
      <c r="G297" s="185"/>
      <c r="H297" s="186"/>
      <c r="I297" s="186"/>
      <c r="J297" s="186"/>
      <c r="K297" s="185"/>
      <c r="L297" s="185"/>
      <c r="M297" s="186"/>
      <c r="N297" s="185"/>
      <c r="O297" s="185"/>
      <c r="P297" s="185"/>
      <c r="Q297" s="185"/>
      <c r="R297" s="185"/>
      <c r="S297" s="185"/>
    </row>
    <row r="298" spans="1:19">
      <c r="A298" s="185"/>
      <c r="B298" s="661"/>
      <c r="C298" s="185"/>
      <c r="D298" s="185"/>
      <c r="E298" s="185"/>
      <c r="F298" s="185"/>
      <c r="G298" s="185"/>
      <c r="H298" s="186"/>
      <c r="I298" s="186"/>
      <c r="J298" s="186"/>
      <c r="K298" s="185"/>
      <c r="L298" s="185"/>
      <c r="M298" s="186"/>
      <c r="N298" s="185"/>
      <c r="O298" s="185"/>
      <c r="P298" s="185"/>
      <c r="Q298" s="185"/>
      <c r="R298" s="185"/>
      <c r="S298" s="185"/>
    </row>
    <row r="299" spans="1:19">
      <c r="A299" s="185"/>
      <c r="B299" s="661"/>
      <c r="C299" s="185"/>
      <c r="D299" s="185"/>
      <c r="E299" s="185"/>
      <c r="F299" s="185"/>
      <c r="G299" s="185"/>
      <c r="H299" s="186"/>
      <c r="I299" s="186"/>
      <c r="J299" s="186"/>
      <c r="K299" s="185"/>
      <c r="L299" s="185"/>
      <c r="M299" s="186"/>
      <c r="N299" s="185"/>
      <c r="O299" s="185"/>
      <c r="P299" s="185"/>
      <c r="Q299" s="185"/>
      <c r="R299" s="185"/>
      <c r="S299" s="185"/>
    </row>
    <row r="300" spans="1:19">
      <c r="A300" s="185"/>
      <c r="B300" s="661"/>
      <c r="C300" s="185"/>
      <c r="D300" s="185"/>
      <c r="E300" s="185"/>
      <c r="F300" s="185"/>
      <c r="G300" s="185"/>
      <c r="H300" s="186"/>
      <c r="I300" s="186"/>
      <c r="J300" s="186"/>
      <c r="K300" s="185"/>
      <c r="L300" s="185"/>
      <c r="M300" s="186"/>
      <c r="N300" s="185"/>
      <c r="O300" s="185"/>
      <c r="P300" s="185"/>
      <c r="Q300" s="185"/>
      <c r="R300" s="185"/>
      <c r="S300" s="185"/>
    </row>
    <row r="301" spans="1:19">
      <c r="A301" s="185"/>
      <c r="B301" s="661"/>
      <c r="C301" s="185"/>
      <c r="D301" s="185"/>
      <c r="E301" s="185"/>
      <c r="F301" s="185"/>
      <c r="G301" s="185"/>
      <c r="H301" s="186"/>
      <c r="I301" s="186"/>
      <c r="J301" s="186"/>
      <c r="K301" s="185"/>
      <c r="L301" s="185"/>
      <c r="M301" s="186"/>
      <c r="N301" s="185"/>
      <c r="O301" s="185"/>
      <c r="P301" s="185"/>
      <c r="Q301" s="185"/>
      <c r="R301" s="185"/>
      <c r="S301" s="185"/>
    </row>
    <row r="302" spans="1:19">
      <c r="A302" s="185"/>
      <c r="B302" s="661"/>
      <c r="C302" s="185"/>
      <c r="D302" s="185"/>
      <c r="E302" s="185"/>
      <c r="F302" s="185"/>
      <c r="G302" s="185"/>
      <c r="H302" s="186"/>
      <c r="I302" s="186"/>
      <c r="J302" s="186"/>
      <c r="K302" s="185"/>
      <c r="L302" s="185"/>
      <c r="M302" s="186"/>
      <c r="N302" s="185"/>
      <c r="O302" s="185"/>
      <c r="P302" s="185"/>
      <c r="Q302" s="185"/>
      <c r="R302" s="185"/>
      <c r="S302" s="185"/>
    </row>
    <row r="303" spans="1:19">
      <c r="A303" s="185"/>
      <c r="B303" s="661"/>
      <c r="C303" s="185"/>
      <c r="D303" s="185"/>
      <c r="E303" s="185"/>
      <c r="F303" s="185"/>
      <c r="G303" s="185"/>
      <c r="H303" s="186"/>
      <c r="I303" s="186"/>
      <c r="J303" s="186"/>
      <c r="K303" s="185"/>
      <c r="L303" s="185"/>
      <c r="M303" s="186"/>
      <c r="N303" s="185"/>
      <c r="O303" s="185"/>
      <c r="P303" s="185"/>
      <c r="Q303" s="185"/>
      <c r="R303" s="185"/>
      <c r="S303" s="185"/>
    </row>
    <row r="304" spans="1:19">
      <c r="A304" s="185"/>
      <c r="B304" s="661"/>
      <c r="C304" s="185"/>
      <c r="D304" s="185"/>
      <c r="E304" s="185"/>
      <c r="F304" s="185"/>
      <c r="G304" s="185"/>
      <c r="H304" s="186"/>
      <c r="I304" s="186"/>
      <c r="J304" s="186"/>
      <c r="K304" s="185"/>
      <c r="L304" s="185"/>
      <c r="M304" s="186"/>
      <c r="N304" s="185"/>
      <c r="O304" s="185"/>
      <c r="P304" s="185"/>
      <c r="Q304" s="185"/>
      <c r="R304" s="185"/>
      <c r="S304" s="185"/>
    </row>
    <row r="305" spans="1:19">
      <c r="A305" s="185"/>
      <c r="B305" s="661"/>
      <c r="C305" s="185"/>
      <c r="D305" s="185"/>
      <c r="E305" s="185"/>
      <c r="F305" s="185"/>
      <c r="G305" s="185"/>
      <c r="H305" s="186"/>
      <c r="I305" s="186"/>
      <c r="J305" s="186"/>
      <c r="K305" s="185"/>
      <c r="L305" s="185"/>
      <c r="M305" s="186"/>
      <c r="N305" s="185"/>
      <c r="O305" s="185"/>
      <c r="P305" s="185"/>
      <c r="Q305" s="185"/>
      <c r="R305" s="185"/>
      <c r="S305" s="185"/>
    </row>
    <row r="306" spans="1:19">
      <c r="A306" s="185"/>
      <c r="B306" s="661"/>
      <c r="C306" s="185"/>
      <c r="D306" s="185"/>
      <c r="E306" s="185"/>
      <c r="F306" s="185"/>
      <c r="G306" s="185"/>
      <c r="H306" s="186"/>
      <c r="I306" s="186"/>
      <c r="J306" s="186"/>
      <c r="K306" s="185"/>
      <c r="L306" s="185"/>
      <c r="M306" s="186"/>
      <c r="N306" s="185"/>
      <c r="O306" s="185"/>
      <c r="P306" s="185"/>
      <c r="Q306" s="185"/>
      <c r="R306" s="185"/>
      <c r="S306" s="185"/>
    </row>
    <row r="307" spans="1:19">
      <c r="A307" s="185"/>
      <c r="B307" s="661"/>
      <c r="C307" s="185"/>
      <c r="D307" s="185"/>
      <c r="E307" s="185"/>
      <c r="F307" s="185"/>
      <c r="G307" s="185"/>
      <c r="H307" s="186"/>
      <c r="I307" s="186"/>
      <c r="J307" s="186"/>
      <c r="K307" s="185"/>
      <c r="L307" s="185"/>
      <c r="M307" s="186"/>
      <c r="N307" s="185"/>
      <c r="O307" s="185"/>
      <c r="P307" s="185"/>
      <c r="Q307" s="185"/>
      <c r="R307" s="185"/>
      <c r="S307" s="185"/>
    </row>
    <row r="308" spans="1:19">
      <c r="A308" s="185"/>
      <c r="B308" s="661"/>
      <c r="C308" s="185"/>
      <c r="D308" s="185"/>
      <c r="E308" s="185"/>
      <c r="F308" s="185"/>
      <c r="G308" s="185"/>
      <c r="H308" s="186"/>
      <c r="I308" s="186"/>
      <c r="J308" s="186"/>
      <c r="K308" s="185"/>
      <c r="L308" s="185"/>
      <c r="M308" s="186"/>
      <c r="N308" s="185"/>
      <c r="O308" s="185"/>
      <c r="P308" s="185"/>
      <c r="Q308" s="185"/>
      <c r="R308" s="185"/>
      <c r="S308" s="185"/>
    </row>
    <row r="309" spans="1:19">
      <c r="A309" s="185"/>
      <c r="B309" s="661"/>
      <c r="C309" s="185"/>
      <c r="D309" s="185"/>
      <c r="E309" s="185"/>
      <c r="F309" s="185"/>
      <c r="G309" s="185"/>
      <c r="H309" s="186"/>
      <c r="I309" s="186"/>
      <c r="J309" s="186"/>
      <c r="K309" s="185"/>
      <c r="L309" s="185"/>
      <c r="M309" s="186"/>
      <c r="N309" s="185"/>
      <c r="O309" s="185"/>
      <c r="P309" s="185"/>
      <c r="Q309" s="185"/>
      <c r="R309" s="185"/>
      <c r="S309" s="185"/>
    </row>
    <row r="310" spans="1:19">
      <c r="A310" s="185"/>
      <c r="B310" s="661"/>
      <c r="C310" s="185"/>
      <c r="D310" s="185"/>
      <c r="E310" s="185"/>
      <c r="F310" s="185"/>
      <c r="G310" s="185"/>
      <c r="H310" s="186"/>
      <c r="I310" s="186"/>
      <c r="J310" s="186"/>
      <c r="K310" s="185"/>
      <c r="L310" s="185"/>
      <c r="M310" s="186"/>
      <c r="N310" s="185"/>
      <c r="O310" s="185"/>
      <c r="P310" s="185"/>
      <c r="Q310" s="185"/>
      <c r="R310" s="185"/>
      <c r="S310" s="185"/>
    </row>
    <row r="311" spans="1:19">
      <c r="A311" s="185"/>
      <c r="B311" s="661"/>
      <c r="C311" s="185"/>
      <c r="D311" s="185"/>
      <c r="E311" s="185"/>
      <c r="F311" s="185"/>
      <c r="G311" s="185"/>
      <c r="H311" s="186"/>
      <c r="I311" s="186"/>
      <c r="J311" s="186"/>
      <c r="K311" s="185"/>
      <c r="L311" s="185"/>
      <c r="M311" s="186"/>
      <c r="N311" s="185"/>
      <c r="O311" s="185"/>
      <c r="P311" s="185"/>
      <c r="Q311" s="185"/>
      <c r="R311" s="185"/>
      <c r="S311" s="185"/>
    </row>
    <row r="312" spans="1:19">
      <c r="A312" s="185"/>
      <c r="B312" s="661"/>
      <c r="C312" s="185"/>
      <c r="D312" s="185"/>
      <c r="E312" s="185"/>
      <c r="F312" s="185"/>
      <c r="G312" s="185"/>
      <c r="H312" s="186"/>
      <c r="I312" s="186"/>
      <c r="J312" s="186"/>
      <c r="K312" s="185"/>
      <c r="L312" s="185"/>
      <c r="M312" s="186"/>
      <c r="N312" s="185"/>
      <c r="O312" s="185"/>
      <c r="P312" s="185"/>
      <c r="Q312" s="185"/>
      <c r="R312" s="185"/>
      <c r="S312" s="185"/>
    </row>
    <row r="313" spans="1:19">
      <c r="A313" s="185"/>
      <c r="B313" s="661"/>
      <c r="C313" s="185"/>
      <c r="D313" s="185"/>
      <c r="E313" s="185"/>
      <c r="F313" s="185"/>
      <c r="G313" s="185"/>
      <c r="H313" s="186"/>
      <c r="I313" s="186"/>
      <c r="J313" s="186"/>
      <c r="K313" s="185"/>
      <c r="L313" s="185"/>
      <c r="M313" s="186"/>
      <c r="N313" s="185"/>
      <c r="O313" s="185"/>
      <c r="P313" s="185"/>
      <c r="Q313" s="185"/>
      <c r="R313" s="185"/>
      <c r="S313" s="185"/>
    </row>
    <row r="314" spans="1:19">
      <c r="A314" s="185"/>
      <c r="B314" s="661"/>
      <c r="C314" s="185"/>
      <c r="D314" s="185"/>
      <c r="E314" s="185"/>
      <c r="F314" s="185"/>
      <c r="G314" s="185"/>
      <c r="H314" s="186"/>
      <c r="I314" s="186"/>
      <c r="J314" s="186"/>
      <c r="K314" s="185"/>
      <c r="L314" s="185"/>
      <c r="M314" s="186"/>
      <c r="N314" s="185"/>
      <c r="O314" s="185"/>
      <c r="P314" s="185"/>
      <c r="Q314" s="185"/>
      <c r="R314" s="185"/>
      <c r="S314" s="185"/>
    </row>
    <row r="315" spans="1:19">
      <c r="A315" s="185"/>
      <c r="B315" s="661"/>
      <c r="C315" s="185"/>
      <c r="D315" s="185"/>
      <c r="E315" s="185"/>
      <c r="F315" s="185"/>
      <c r="G315" s="185"/>
      <c r="H315" s="186"/>
      <c r="I315" s="186"/>
      <c r="J315" s="186"/>
      <c r="K315" s="185"/>
      <c r="L315" s="185"/>
      <c r="M315" s="186"/>
      <c r="N315" s="185"/>
      <c r="O315" s="185"/>
      <c r="P315" s="185"/>
      <c r="Q315" s="185"/>
      <c r="R315" s="185"/>
      <c r="S315" s="185"/>
    </row>
    <row r="316" spans="1:19">
      <c r="A316" s="185"/>
      <c r="B316" s="661"/>
      <c r="C316" s="185"/>
      <c r="D316" s="185"/>
      <c r="E316" s="185"/>
      <c r="F316" s="185"/>
      <c r="G316" s="185"/>
      <c r="H316" s="186"/>
      <c r="I316" s="186"/>
      <c r="J316" s="186"/>
      <c r="K316" s="185"/>
      <c r="L316" s="185"/>
      <c r="M316" s="186"/>
      <c r="N316" s="185"/>
      <c r="O316" s="185"/>
      <c r="P316" s="185"/>
      <c r="Q316" s="185"/>
      <c r="R316" s="185"/>
      <c r="S316" s="185"/>
    </row>
    <row r="317" spans="1:19">
      <c r="A317" s="185"/>
      <c r="B317" s="661"/>
      <c r="C317" s="185"/>
      <c r="D317" s="185"/>
      <c r="E317" s="185"/>
      <c r="F317" s="185"/>
      <c r="G317" s="185"/>
      <c r="H317" s="186"/>
      <c r="I317" s="186"/>
      <c r="J317" s="186"/>
      <c r="K317" s="185"/>
      <c r="L317" s="185"/>
      <c r="M317" s="186"/>
      <c r="N317" s="185"/>
      <c r="O317" s="185"/>
      <c r="P317" s="185"/>
      <c r="Q317" s="185"/>
      <c r="R317" s="185"/>
      <c r="S317" s="185"/>
    </row>
    <row r="318" spans="1:19">
      <c r="A318" s="185"/>
      <c r="B318" s="661"/>
      <c r="C318" s="185"/>
      <c r="D318" s="185"/>
      <c r="E318" s="185"/>
      <c r="F318" s="185"/>
      <c r="G318" s="185"/>
      <c r="H318" s="186"/>
      <c r="I318" s="186"/>
      <c r="J318" s="186"/>
      <c r="K318" s="185"/>
      <c r="L318" s="185"/>
      <c r="M318" s="186"/>
      <c r="N318" s="185"/>
      <c r="O318" s="185"/>
      <c r="P318" s="185"/>
      <c r="Q318" s="185"/>
      <c r="R318" s="185"/>
      <c r="S318" s="185"/>
    </row>
    <row r="319" spans="1:19">
      <c r="A319" s="185"/>
      <c r="B319" s="661"/>
      <c r="C319" s="185"/>
      <c r="D319" s="185"/>
      <c r="E319" s="185"/>
      <c r="F319" s="185"/>
      <c r="G319" s="185"/>
      <c r="H319" s="186"/>
      <c r="I319" s="186"/>
      <c r="J319" s="186"/>
      <c r="K319" s="185"/>
      <c r="L319" s="185"/>
      <c r="M319" s="186"/>
      <c r="N319" s="185"/>
      <c r="O319" s="185"/>
      <c r="P319" s="185"/>
      <c r="Q319" s="185"/>
      <c r="R319" s="185"/>
      <c r="S319" s="185"/>
    </row>
    <row r="320" spans="1:19">
      <c r="A320" s="185"/>
      <c r="B320" s="661"/>
      <c r="C320" s="185"/>
      <c r="D320" s="185"/>
      <c r="E320" s="185"/>
      <c r="F320" s="185"/>
      <c r="G320" s="185"/>
      <c r="H320" s="186"/>
      <c r="I320" s="186"/>
      <c r="J320" s="186"/>
      <c r="K320" s="185"/>
      <c r="L320" s="185"/>
      <c r="M320" s="186"/>
      <c r="N320" s="185"/>
      <c r="O320" s="185"/>
      <c r="P320" s="185"/>
      <c r="Q320" s="185"/>
      <c r="R320" s="185"/>
      <c r="S320" s="185"/>
    </row>
    <row r="321" spans="1:19">
      <c r="A321" s="185"/>
      <c r="B321" s="661"/>
      <c r="C321" s="185"/>
      <c r="D321" s="185"/>
      <c r="E321" s="185"/>
      <c r="F321" s="185"/>
      <c r="G321" s="185"/>
      <c r="H321" s="186"/>
      <c r="I321" s="186"/>
      <c r="J321" s="186"/>
      <c r="K321" s="185"/>
      <c r="L321" s="185"/>
      <c r="M321" s="186"/>
      <c r="N321" s="185"/>
      <c r="O321" s="185"/>
      <c r="P321" s="185"/>
      <c r="Q321" s="185"/>
      <c r="R321" s="185"/>
      <c r="S321" s="185"/>
    </row>
    <row r="322" spans="1:19">
      <c r="A322" s="185"/>
      <c r="B322" s="661"/>
      <c r="C322" s="185"/>
      <c r="D322" s="185"/>
      <c r="E322" s="185"/>
      <c r="F322" s="185"/>
      <c r="G322" s="185"/>
      <c r="H322" s="186"/>
      <c r="I322" s="186"/>
      <c r="J322" s="186"/>
      <c r="K322" s="185"/>
      <c r="L322" s="185"/>
      <c r="M322" s="186"/>
      <c r="N322" s="185"/>
      <c r="O322" s="185"/>
      <c r="P322" s="185"/>
      <c r="Q322" s="185"/>
      <c r="R322" s="185"/>
      <c r="S322" s="185"/>
    </row>
    <row r="323" spans="1:19">
      <c r="A323" s="185"/>
      <c r="B323" s="661"/>
      <c r="C323" s="185"/>
      <c r="D323" s="185"/>
      <c r="E323" s="185"/>
      <c r="F323" s="185"/>
      <c r="G323" s="185"/>
      <c r="H323" s="186"/>
      <c r="I323" s="186"/>
      <c r="J323" s="186"/>
      <c r="K323" s="185"/>
      <c r="L323" s="185"/>
      <c r="M323" s="186"/>
      <c r="N323" s="185"/>
      <c r="O323" s="185"/>
      <c r="P323" s="185"/>
      <c r="Q323" s="185"/>
      <c r="R323" s="185"/>
      <c r="S323" s="185"/>
    </row>
    <row r="324" spans="1:19">
      <c r="A324" s="185"/>
      <c r="B324" s="661"/>
      <c r="C324" s="185"/>
      <c r="D324" s="185"/>
      <c r="E324" s="185"/>
      <c r="F324" s="185"/>
      <c r="G324" s="185"/>
      <c r="H324" s="186"/>
      <c r="I324" s="186"/>
      <c r="J324" s="186"/>
      <c r="K324" s="185"/>
      <c r="L324" s="185"/>
      <c r="M324" s="186"/>
      <c r="N324" s="185"/>
      <c r="O324" s="185"/>
      <c r="P324" s="185"/>
      <c r="Q324" s="185"/>
      <c r="R324" s="185"/>
      <c r="S324" s="185"/>
    </row>
    <row r="325" spans="1:19">
      <c r="A325" s="185"/>
      <c r="B325" s="661"/>
      <c r="C325" s="185"/>
      <c r="D325" s="185"/>
      <c r="E325" s="185"/>
      <c r="F325" s="185"/>
      <c r="G325" s="185"/>
      <c r="H325" s="186"/>
      <c r="I325" s="186"/>
      <c r="J325" s="186"/>
      <c r="K325" s="185"/>
      <c r="L325" s="185"/>
      <c r="M325" s="186"/>
      <c r="N325" s="185"/>
      <c r="O325" s="185"/>
      <c r="P325" s="185"/>
      <c r="Q325" s="185"/>
      <c r="R325" s="185"/>
      <c r="S325" s="185"/>
    </row>
    <row r="326" spans="1:19">
      <c r="A326" s="185"/>
      <c r="B326" s="661"/>
      <c r="C326" s="185"/>
      <c r="D326" s="185"/>
      <c r="E326" s="185"/>
      <c r="F326" s="185"/>
      <c r="G326" s="185"/>
      <c r="H326" s="186"/>
      <c r="I326" s="186"/>
      <c r="J326" s="186"/>
      <c r="K326" s="185"/>
      <c r="L326" s="185"/>
      <c r="M326" s="186"/>
      <c r="N326" s="185"/>
      <c r="O326" s="185"/>
      <c r="P326" s="185"/>
      <c r="Q326" s="185"/>
      <c r="R326" s="185"/>
      <c r="S326" s="185"/>
    </row>
    <row r="327" spans="1:19">
      <c r="A327" s="185"/>
      <c r="B327" s="661"/>
      <c r="C327" s="185"/>
      <c r="D327" s="185"/>
      <c r="E327" s="185"/>
      <c r="F327" s="185"/>
      <c r="G327" s="185"/>
      <c r="H327" s="186"/>
      <c r="I327" s="186"/>
      <c r="J327" s="186"/>
      <c r="K327" s="185"/>
      <c r="L327" s="185"/>
      <c r="M327" s="186"/>
      <c r="N327" s="185"/>
      <c r="O327" s="185"/>
      <c r="P327" s="185"/>
      <c r="Q327" s="185"/>
      <c r="R327" s="185"/>
      <c r="S327" s="185"/>
    </row>
    <row r="328" spans="1:19">
      <c r="A328" s="185"/>
      <c r="B328" s="661"/>
      <c r="C328" s="185"/>
      <c r="D328" s="185"/>
      <c r="E328" s="185"/>
      <c r="F328" s="185"/>
      <c r="G328" s="185"/>
      <c r="H328" s="186"/>
      <c r="I328" s="186"/>
      <c r="J328" s="186"/>
      <c r="K328" s="185"/>
      <c r="L328" s="185"/>
      <c r="M328" s="186"/>
      <c r="N328" s="185"/>
      <c r="O328" s="185"/>
      <c r="P328" s="185"/>
      <c r="Q328" s="185"/>
      <c r="R328" s="185"/>
      <c r="S328" s="185"/>
    </row>
    <row r="329" spans="1:19">
      <c r="A329" s="185"/>
      <c r="B329" s="661"/>
      <c r="C329" s="185"/>
      <c r="D329" s="185"/>
      <c r="E329" s="185"/>
      <c r="F329" s="185"/>
      <c r="G329" s="185"/>
      <c r="H329" s="186"/>
      <c r="I329" s="186"/>
      <c r="J329" s="186"/>
      <c r="K329" s="185"/>
      <c r="L329" s="185"/>
      <c r="M329" s="186"/>
      <c r="N329" s="185"/>
      <c r="O329" s="185"/>
      <c r="P329" s="185"/>
      <c r="Q329" s="185"/>
      <c r="R329" s="185"/>
      <c r="S329" s="185"/>
    </row>
    <row r="330" spans="1:19">
      <c r="A330" s="185"/>
      <c r="B330" s="661"/>
      <c r="C330" s="185"/>
      <c r="D330" s="185"/>
      <c r="E330" s="185"/>
      <c r="F330" s="185"/>
      <c r="G330" s="185"/>
      <c r="H330" s="186"/>
      <c r="I330" s="186"/>
      <c r="J330" s="186"/>
      <c r="K330" s="185"/>
      <c r="L330" s="185"/>
      <c r="M330" s="186"/>
      <c r="N330" s="185"/>
      <c r="O330" s="185"/>
      <c r="P330" s="185"/>
      <c r="Q330" s="185"/>
      <c r="R330" s="185"/>
      <c r="S330" s="185"/>
    </row>
    <row r="331" spans="1:19">
      <c r="A331" s="185"/>
      <c r="B331" s="661"/>
      <c r="C331" s="185"/>
      <c r="D331" s="185"/>
      <c r="E331" s="185"/>
      <c r="F331" s="185"/>
      <c r="G331" s="185"/>
      <c r="H331" s="186"/>
      <c r="I331" s="186"/>
      <c r="J331" s="186"/>
      <c r="K331" s="185"/>
      <c r="L331" s="185"/>
      <c r="M331" s="186"/>
      <c r="N331" s="185"/>
      <c r="O331" s="185"/>
      <c r="P331" s="185"/>
      <c r="Q331" s="185"/>
      <c r="R331" s="185"/>
      <c r="S331" s="185"/>
    </row>
    <row r="332" spans="1:19">
      <c r="A332" s="185"/>
      <c r="B332" s="661"/>
      <c r="C332" s="185"/>
      <c r="D332" s="185"/>
      <c r="E332" s="185"/>
      <c r="F332" s="185"/>
      <c r="G332" s="185"/>
      <c r="H332" s="186"/>
      <c r="I332" s="186"/>
      <c r="J332" s="186"/>
      <c r="K332" s="185"/>
      <c r="L332" s="185"/>
      <c r="M332" s="186"/>
      <c r="N332" s="185"/>
      <c r="O332" s="185"/>
      <c r="P332" s="185"/>
      <c r="Q332" s="185"/>
      <c r="R332" s="185"/>
      <c r="S332" s="185"/>
    </row>
    <row r="333" spans="1:19">
      <c r="A333" s="185"/>
      <c r="B333" s="661"/>
      <c r="C333" s="185"/>
      <c r="D333" s="185"/>
      <c r="E333" s="185"/>
      <c r="F333" s="185"/>
      <c r="G333" s="185"/>
      <c r="H333" s="186"/>
      <c r="I333" s="186"/>
      <c r="J333" s="186"/>
      <c r="K333" s="185"/>
      <c r="L333" s="185"/>
      <c r="M333" s="186"/>
      <c r="N333" s="185"/>
      <c r="O333" s="185"/>
      <c r="P333" s="185"/>
      <c r="Q333" s="185"/>
      <c r="R333" s="185"/>
      <c r="S333" s="185"/>
    </row>
    <row r="334" spans="1:19">
      <c r="A334" s="185"/>
      <c r="B334" s="661"/>
      <c r="C334" s="185"/>
      <c r="D334" s="185"/>
      <c r="E334" s="185"/>
      <c r="F334" s="185"/>
      <c r="G334" s="185"/>
      <c r="H334" s="186"/>
      <c r="I334" s="186"/>
      <c r="J334" s="186"/>
      <c r="K334" s="185"/>
      <c r="L334" s="185"/>
      <c r="M334" s="186"/>
      <c r="N334" s="185"/>
      <c r="O334" s="185"/>
      <c r="P334" s="185"/>
      <c r="Q334" s="185"/>
      <c r="R334" s="185"/>
      <c r="S334" s="185"/>
    </row>
    <row r="335" spans="1:19">
      <c r="A335" s="185"/>
      <c r="B335" s="661"/>
      <c r="C335" s="185"/>
      <c r="D335" s="185"/>
      <c r="E335" s="185"/>
      <c r="F335" s="185"/>
      <c r="G335" s="185"/>
      <c r="H335" s="186"/>
      <c r="I335" s="186"/>
      <c r="J335" s="186"/>
      <c r="K335" s="185"/>
      <c r="L335" s="185"/>
      <c r="M335" s="186"/>
      <c r="N335" s="185"/>
      <c r="O335" s="185"/>
      <c r="P335" s="185"/>
      <c r="Q335" s="185"/>
      <c r="R335" s="185"/>
      <c r="S335" s="185"/>
    </row>
    <row r="336" spans="1:19">
      <c r="A336" s="185"/>
      <c r="B336" s="661"/>
      <c r="C336" s="185"/>
      <c r="D336" s="185"/>
      <c r="E336" s="185"/>
      <c r="F336" s="185"/>
      <c r="G336" s="185"/>
      <c r="H336" s="186"/>
      <c r="I336" s="186"/>
      <c r="J336" s="186"/>
      <c r="K336" s="185"/>
      <c r="L336" s="185"/>
      <c r="M336" s="186"/>
      <c r="N336" s="185"/>
      <c r="O336" s="185"/>
      <c r="P336" s="185"/>
      <c r="Q336" s="185"/>
      <c r="R336" s="185"/>
      <c r="S336" s="185"/>
    </row>
    <row r="337" spans="1:19">
      <c r="A337" s="185"/>
      <c r="B337" s="661"/>
      <c r="C337" s="185"/>
      <c r="D337" s="185"/>
      <c r="E337" s="185"/>
      <c r="F337" s="185"/>
      <c r="G337" s="185"/>
      <c r="H337" s="186"/>
      <c r="I337" s="186"/>
      <c r="J337" s="186"/>
      <c r="K337" s="185"/>
      <c r="L337" s="185"/>
      <c r="M337" s="186"/>
      <c r="N337" s="185"/>
      <c r="O337" s="185"/>
      <c r="P337" s="185"/>
      <c r="Q337" s="185"/>
      <c r="R337" s="185"/>
      <c r="S337" s="185"/>
    </row>
    <row r="338" spans="1:19">
      <c r="A338" s="185"/>
      <c r="B338" s="661"/>
      <c r="C338" s="185"/>
      <c r="D338" s="185"/>
      <c r="E338" s="185"/>
      <c r="F338" s="185"/>
      <c r="G338" s="185"/>
      <c r="H338" s="186"/>
      <c r="I338" s="186"/>
      <c r="J338" s="186"/>
      <c r="K338" s="185"/>
      <c r="L338" s="185"/>
      <c r="M338" s="186"/>
      <c r="N338" s="185"/>
      <c r="O338" s="185"/>
      <c r="P338" s="185"/>
      <c r="Q338" s="185"/>
      <c r="R338" s="185"/>
      <c r="S338" s="185"/>
    </row>
    <row r="339" spans="1:19">
      <c r="A339" s="185"/>
      <c r="B339" s="661"/>
      <c r="C339" s="185"/>
      <c r="D339" s="185"/>
      <c r="E339" s="185"/>
      <c r="F339" s="185"/>
      <c r="G339" s="185"/>
      <c r="H339" s="186"/>
      <c r="I339" s="186"/>
      <c r="J339" s="186"/>
      <c r="K339" s="185"/>
      <c r="L339" s="185"/>
      <c r="M339" s="186"/>
      <c r="N339" s="185"/>
      <c r="O339" s="185"/>
      <c r="P339" s="185"/>
      <c r="Q339" s="185"/>
      <c r="R339" s="185"/>
      <c r="S339" s="185"/>
    </row>
    <row r="340" spans="1:19">
      <c r="A340" s="185"/>
      <c r="B340" s="661"/>
      <c r="C340" s="185"/>
      <c r="D340" s="185"/>
      <c r="E340" s="185"/>
      <c r="F340" s="185"/>
      <c r="G340" s="185"/>
      <c r="H340" s="186"/>
      <c r="I340" s="186"/>
      <c r="J340" s="186"/>
      <c r="K340" s="185"/>
      <c r="L340" s="185"/>
      <c r="M340" s="186"/>
      <c r="N340" s="185"/>
      <c r="O340" s="185"/>
      <c r="P340" s="185"/>
      <c r="Q340" s="185"/>
      <c r="R340" s="185"/>
      <c r="S340" s="185"/>
    </row>
    <row r="341" spans="1:19">
      <c r="A341" s="185"/>
      <c r="B341" s="661"/>
      <c r="C341" s="185"/>
      <c r="D341" s="185"/>
      <c r="E341" s="185"/>
      <c r="F341" s="185"/>
      <c r="G341" s="185"/>
      <c r="H341" s="186"/>
      <c r="I341" s="186"/>
      <c r="J341" s="186"/>
      <c r="K341" s="185"/>
      <c r="L341" s="185"/>
      <c r="M341" s="186"/>
      <c r="N341" s="185"/>
      <c r="O341" s="185"/>
      <c r="P341" s="185"/>
      <c r="Q341" s="185"/>
      <c r="R341" s="185"/>
      <c r="S341" s="185"/>
    </row>
    <row r="342" spans="1:19">
      <c r="A342" s="185"/>
      <c r="B342" s="661"/>
      <c r="C342" s="185"/>
      <c r="D342" s="185"/>
      <c r="E342" s="185"/>
      <c r="F342" s="185"/>
      <c r="G342" s="185"/>
      <c r="H342" s="186"/>
      <c r="I342" s="186"/>
      <c r="J342" s="186"/>
      <c r="K342" s="185"/>
      <c r="L342" s="185"/>
      <c r="M342" s="186"/>
      <c r="N342" s="185"/>
      <c r="O342" s="185"/>
      <c r="P342" s="185"/>
      <c r="Q342" s="185"/>
      <c r="R342" s="185"/>
      <c r="S342" s="185"/>
    </row>
    <row r="343" spans="1:19">
      <c r="A343" s="185"/>
      <c r="B343" s="661"/>
      <c r="C343" s="185"/>
      <c r="D343" s="185"/>
      <c r="E343" s="185"/>
      <c r="F343" s="185"/>
      <c r="G343" s="185"/>
      <c r="H343" s="186"/>
      <c r="I343" s="186"/>
      <c r="J343" s="186"/>
      <c r="K343" s="185"/>
      <c r="L343" s="185"/>
      <c r="M343" s="186"/>
      <c r="N343" s="185"/>
      <c r="O343" s="185"/>
      <c r="P343" s="185"/>
      <c r="Q343" s="185"/>
      <c r="R343" s="185"/>
      <c r="S343" s="185"/>
    </row>
    <row r="344" spans="1:19">
      <c r="A344" s="185"/>
      <c r="B344" s="661"/>
      <c r="C344" s="185"/>
      <c r="D344" s="185"/>
      <c r="E344" s="185"/>
      <c r="F344" s="185"/>
      <c r="G344" s="185"/>
      <c r="H344" s="186"/>
      <c r="I344" s="186"/>
      <c r="J344" s="186"/>
      <c r="K344" s="185"/>
      <c r="L344" s="185"/>
      <c r="M344" s="186"/>
      <c r="N344" s="185"/>
      <c r="O344" s="185"/>
      <c r="P344" s="185"/>
      <c r="Q344" s="185"/>
      <c r="R344" s="185"/>
      <c r="S344" s="185"/>
    </row>
    <row r="345" spans="1:19">
      <c r="A345" s="185"/>
      <c r="B345" s="661"/>
      <c r="C345" s="185"/>
      <c r="D345" s="185"/>
      <c r="E345" s="185"/>
      <c r="F345" s="185"/>
      <c r="G345" s="185"/>
      <c r="H345" s="186"/>
      <c r="I345" s="186"/>
      <c r="J345" s="186"/>
      <c r="K345" s="185"/>
      <c r="L345" s="185"/>
      <c r="M345" s="186"/>
      <c r="N345" s="185"/>
      <c r="O345" s="185"/>
      <c r="P345" s="185"/>
      <c r="Q345" s="185"/>
      <c r="R345" s="185"/>
      <c r="S345" s="185"/>
    </row>
    <row r="346" spans="1:19">
      <c r="A346" s="185"/>
      <c r="B346" s="661"/>
      <c r="C346" s="185"/>
      <c r="D346" s="185"/>
      <c r="E346" s="185"/>
      <c r="F346" s="185"/>
      <c r="G346" s="185"/>
      <c r="H346" s="186"/>
      <c r="I346" s="186"/>
      <c r="J346" s="186"/>
      <c r="K346" s="185"/>
      <c r="L346" s="185"/>
      <c r="M346" s="186"/>
      <c r="N346" s="185"/>
      <c r="O346" s="185"/>
      <c r="P346" s="185"/>
      <c r="Q346" s="185"/>
      <c r="R346" s="185"/>
      <c r="S346" s="185"/>
    </row>
    <row r="347" spans="1:19">
      <c r="A347" s="185"/>
      <c r="B347" s="661"/>
      <c r="C347" s="185"/>
      <c r="D347" s="185"/>
      <c r="E347" s="185"/>
      <c r="F347" s="185"/>
      <c r="G347" s="185"/>
      <c r="H347" s="186"/>
      <c r="I347" s="186"/>
      <c r="J347" s="186"/>
      <c r="K347" s="185"/>
      <c r="L347" s="185"/>
      <c r="M347" s="186"/>
      <c r="N347" s="185"/>
      <c r="O347" s="185"/>
      <c r="P347" s="185"/>
      <c r="Q347" s="185"/>
      <c r="R347" s="185"/>
      <c r="S347" s="185"/>
    </row>
    <row r="348" spans="1:19">
      <c r="A348" s="185"/>
      <c r="B348" s="661"/>
      <c r="C348" s="185"/>
      <c r="D348" s="185"/>
      <c r="E348" s="185"/>
      <c r="F348" s="185"/>
      <c r="G348" s="185"/>
      <c r="H348" s="186"/>
      <c r="I348" s="186"/>
      <c r="J348" s="186"/>
      <c r="K348" s="185"/>
      <c r="L348" s="185"/>
      <c r="M348" s="186"/>
      <c r="N348" s="185"/>
      <c r="O348" s="185"/>
      <c r="P348" s="185"/>
      <c r="Q348" s="185"/>
      <c r="R348" s="185"/>
      <c r="S348" s="185"/>
    </row>
    <row r="349" spans="1:19">
      <c r="A349" s="185"/>
      <c r="B349" s="661"/>
      <c r="C349" s="185"/>
      <c r="D349" s="185"/>
      <c r="E349" s="185"/>
      <c r="F349" s="185"/>
      <c r="G349" s="185"/>
      <c r="H349" s="186"/>
      <c r="I349" s="186"/>
      <c r="J349" s="186"/>
      <c r="K349" s="185"/>
      <c r="L349" s="185"/>
      <c r="M349" s="186"/>
      <c r="N349" s="185"/>
      <c r="O349" s="185"/>
      <c r="P349" s="185"/>
      <c r="Q349" s="185"/>
      <c r="R349" s="185"/>
      <c r="S349" s="185"/>
    </row>
    <row r="350" spans="1:19">
      <c r="A350" s="185"/>
      <c r="B350" s="661"/>
      <c r="C350" s="185"/>
      <c r="D350" s="185"/>
      <c r="E350" s="185"/>
      <c r="F350" s="185"/>
      <c r="G350" s="185"/>
      <c r="H350" s="186"/>
      <c r="I350" s="186"/>
      <c r="J350" s="186"/>
      <c r="K350" s="185"/>
      <c r="L350" s="185"/>
      <c r="M350" s="186"/>
      <c r="N350" s="185"/>
      <c r="O350" s="185"/>
      <c r="P350" s="185"/>
      <c r="Q350" s="185"/>
      <c r="R350" s="185"/>
      <c r="S350" s="185"/>
    </row>
    <row r="351" spans="1:19">
      <c r="A351" s="185"/>
      <c r="B351" s="661"/>
      <c r="C351" s="185"/>
      <c r="D351" s="185"/>
      <c r="E351" s="185"/>
      <c r="F351" s="185"/>
      <c r="G351" s="185"/>
      <c r="H351" s="186"/>
      <c r="I351" s="186"/>
      <c r="J351" s="186"/>
      <c r="K351" s="185"/>
      <c r="L351" s="185"/>
      <c r="M351" s="186"/>
      <c r="N351" s="185"/>
      <c r="O351" s="185"/>
      <c r="P351" s="185"/>
      <c r="Q351" s="185"/>
      <c r="R351" s="185"/>
      <c r="S351" s="185"/>
    </row>
    <row r="352" spans="1:19">
      <c r="A352" s="185"/>
      <c r="B352" s="661"/>
      <c r="C352" s="185"/>
      <c r="D352" s="185"/>
      <c r="E352" s="185"/>
      <c r="F352" s="185"/>
      <c r="G352" s="185"/>
      <c r="H352" s="186"/>
      <c r="I352" s="186"/>
      <c r="J352" s="186"/>
      <c r="K352" s="185"/>
      <c r="L352" s="185"/>
      <c r="M352" s="186"/>
      <c r="N352" s="185"/>
      <c r="O352" s="185"/>
      <c r="P352" s="185"/>
      <c r="Q352" s="185"/>
      <c r="R352" s="185"/>
      <c r="S352" s="185"/>
    </row>
    <row r="353" spans="1:19">
      <c r="A353" s="185"/>
      <c r="B353" s="661"/>
      <c r="C353" s="185"/>
      <c r="D353" s="185"/>
      <c r="E353" s="185"/>
      <c r="F353" s="185"/>
      <c r="G353" s="185"/>
      <c r="H353" s="186"/>
      <c r="I353" s="186"/>
      <c r="J353" s="186"/>
      <c r="K353" s="185"/>
      <c r="L353" s="185"/>
      <c r="M353" s="186"/>
      <c r="N353" s="185"/>
      <c r="O353" s="185"/>
      <c r="P353" s="185"/>
      <c r="Q353" s="185"/>
      <c r="R353" s="185"/>
      <c r="S353" s="185"/>
    </row>
    <row r="354" spans="1:19">
      <c r="A354" s="185"/>
      <c r="B354" s="661"/>
      <c r="C354" s="185"/>
      <c r="D354" s="185"/>
      <c r="E354" s="185"/>
      <c r="F354" s="185"/>
      <c r="G354" s="185"/>
      <c r="H354" s="186"/>
      <c r="I354" s="186"/>
      <c r="J354" s="186"/>
      <c r="K354" s="185"/>
      <c r="L354" s="185"/>
      <c r="M354" s="186"/>
      <c r="N354" s="185"/>
      <c r="O354" s="185"/>
      <c r="P354" s="185"/>
      <c r="Q354" s="185"/>
      <c r="R354" s="185"/>
      <c r="S354" s="185"/>
    </row>
    <row r="355" spans="1:19">
      <c r="A355" s="185"/>
      <c r="B355" s="661"/>
      <c r="C355" s="185"/>
      <c r="D355" s="185"/>
      <c r="E355" s="185"/>
      <c r="F355" s="185"/>
      <c r="G355" s="185"/>
      <c r="H355" s="186"/>
      <c r="I355" s="186"/>
      <c r="J355" s="186"/>
      <c r="K355" s="185"/>
      <c r="L355" s="185"/>
      <c r="M355" s="186"/>
      <c r="N355" s="185"/>
      <c r="O355" s="185"/>
      <c r="P355" s="185"/>
      <c r="Q355" s="185"/>
      <c r="R355" s="185"/>
      <c r="S355" s="185"/>
    </row>
    <row r="356" spans="1:19">
      <c r="A356" s="185"/>
      <c r="B356" s="661"/>
      <c r="C356" s="185"/>
      <c r="D356" s="185"/>
      <c r="E356" s="185"/>
      <c r="F356" s="185"/>
      <c r="G356" s="185"/>
      <c r="H356" s="186"/>
      <c r="I356" s="186"/>
      <c r="J356" s="186"/>
      <c r="K356" s="185"/>
      <c r="L356" s="185"/>
      <c r="M356" s="186"/>
      <c r="N356" s="185"/>
      <c r="O356" s="185"/>
      <c r="P356" s="185"/>
      <c r="Q356" s="185"/>
      <c r="R356" s="185"/>
      <c r="S356" s="185"/>
    </row>
    <row r="357" spans="1:19">
      <c r="A357" s="185"/>
      <c r="B357" s="661"/>
      <c r="C357" s="185"/>
      <c r="D357" s="185"/>
      <c r="E357" s="185"/>
      <c r="F357" s="185"/>
      <c r="G357" s="185"/>
      <c r="H357" s="186"/>
      <c r="I357" s="186"/>
      <c r="J357" s="186"/>
      <c r="K357" s="185"/>
      <c r="L357" s="185"/>
      <c r="M357" s="186"/>
      <c r="N357" s="185"/>
      <c r="O357" s="185"/>
      <c r="P357" s="185"/>
      <c r="Q357" s="185"/>
      <c r="R357" s="185"/>
      <c r="S357" s="185"/>
    </row>
    <row r="358" spans="1:19">
      <c r="A358" s="185"/>
      <c r="B358" s="661"/>
      <c r="C358" s="185"/>
      <c r="D358" s="185"/>
      <c r="E358" s="185"/>
      <c r="F358" s="185"/>
      <c r="G358" s="185"/>
      <c r="H358" s="186"/>
      <c r="I358" s="186"/>
      <c r="J358" s="186"/>
      <c r="K358" s="185"/>
      <c r="L358" s="185"/>
      <c r="M358" s="186"/>
      <c r="N358" s="185"/>
      <c r="O358" s="185"/>
      <c r="P358" s="185"/>
      <c r="Q358" s="185"/>
      <c r="R358" s="185"/>
      <c r="S358" s="185"/>
    </row>
    <row r="359" spans="1:19">
      <c r="A359" s="185"/>
      <c r="B359" s="661"/>
      <c r="C359" s="185"/>
      <c r="D359" s="185"/>
      <c r="E359" s="185"/>
      <c r="F359" s="185"/>
      <c r="G359" s="185"/>
      <c r="H359" s="186"/>
      <c r="I359" s="186"/>
      <c r="J359" s="186"/>
      <c r="K359" s="185"/>
      <c r="L359" s="185"/>
      <c r="M359" s="186"/>
      <c r="N359" s="185"/>
      <c r="O359" s="185"/>
      <c r="P359" s="185"/>
      <c r="Q359" s="185"/>
      <c r="R359" s="185"/>
      <c r="S359" s="185"/>
    </row>
    <row r="360" spans="1:19">
      <c r="A360" s="185"/>
      <c r="B360" s="661"/>
      <c r="C360" s="185"/>
      <c r="D360" s="185"/>
      <c r="E360" s="185"/>
      <c r="F360" s="185"/>
      <c r="G360" s="185"/>
      <c r="H360" s="186"/>
      <c r="I360" s="186"/>
      <c r="J360" s="186"/>
      <c r="K360" s="185"/>
      <c r="L360" s="185"/>
      <c r="M360" s="186"/>
      <c r="N360" s="185"/>
      <c r="O360" s="185"/>
      <c r="P360" s="185"/>
      <c r="Q360" s="185"/>
      <c r="R360" s="185"/>
      <c r="S360" s="185"/>
    </row>
    <row r="361" spans="1:19">
      <c r="A361" s="185"/>
      <c r="B361" s="661"/>
      <c r="C361" s="185"/>
      <c r="D361" s="185"/>
      <c r="E361" s="185"/>
      <c r="F361" s="185"/>
      <c r="G361" s="185"/>
      <c r="H361" s="186"/>
      <c r="I361" s="186"/>
      <c r="J361" s="186"/>
      <c r="K361" s="185"/>
      <c r="L361" s="185"/>
      <c r="M361" s="186"/>
      <c r="N361" s="185"/>
      <c r="O361" s="185"/>
      <c r="P361" s="185"/>
      <c r="Q361" s="185"/>
      <c r="R361" s="185"/>
      <c r="S361" s="185"/>
    </row>
    <row r="362" spans="1:19">
      <c r="A362" s="185"/>
      <c r="B362" s="661"/>
      <c r="C362" s="185"/>
      <c r="D362" s="185"/>
      <c r="E362" s="185"/>
      <c r="F362" s="185"/>
      <c r="G362" s="185"/>
      <c r="H362" s="186"/>
      <c r="I362" s="186"/>
      <c r="J362" s="186"/>
      <c r="K362" s="185"/>
      <c r="L362" s="185"/>
      <c r="M362" s="186"/>
      <c r="N362" s="185"/>
      <c r="O362" s="185"/>
      <c r="P362" s="185"/>
      <c r="Q362" s="185"/>
      <c r="R362" s="185"/>
      <c r="S362" s="185"/>
    </row>
    <row r="363" spans="1:19">
      <c r="A363" s="185"/>
      <c r="B363" s="661"/>
      <c r="C363" s="185"/>
      <c r="D363" s="185"/>
      <c r="E363" s="185"/>
      <c r="F363" s="185"/>
      <c r="G363" s="185"/>
      <c r="H363" s="186"/>
      <c r="I363" s="186"/>
      <c r="J363" s="186"/>
      <c r="K363" s="185"/>
      <c r="L363" s="185"/>
      <c r="M363" s="186"/>
      <c r="N363" s="185"/>
      <c r="O363" s="185"/>
      <c r="P363" s="185"/>
      <c r="Q363" s="185"/>
      <c r="R363" s="185"/>
      <c r="S363" s="185"/>
    </row>
    <row r="364" spans="1:19">
      <c r="A364" s="185"/>
      <c r="B364" s="661"/>
      <c r="C364" s="185"/>
      <c r="D364" s="185"/>
      <c r="E364" s="185"/>
      <c r="F364" s="185"/>
      <c r="G364" s="185"/>
      <c r="H364" s="186"/>
      <c r="I364" s="186"/>
      <c r="J364" s="186"/>
      <c r="K364" s="185"/>
      <c r="L364" s="185"/>
      <c r="M364" s="186"/>
      <c r="N364" s="185"/>
      <c r="O364" s="185"/>
      <c r="P364" s="185"/>
      <c r="Q364" s="185"/>
      <c r="R364" s="185"/>
      <c r="S364" s="185"/>
    </row>
    <row r="365" spans="1:19">
      <c r="A365" s="185"/>
      <c r="B365" s="661"/>
      <c r="C365" s="185"/>
      <c r="D365" s="185"/>
      <c r="E365" s="185"/>
      <c r="F365" s="185"/>
      <c r="G365" s="185"/>
      <c r="H365" s="186"/>
      <c r="I365" s="186"/>
      <c r="J365" s="186"/>
      <c r="K365" s="185"/>
      <c r="L365" s="185"/>
      <c r="M365" s="186"/>
      <c r="N365" s="185"/>
      <c r="O365" s="185"/>
      <c r="P365" s="185"/>
      <c r="Q365" s="185"/>
      <c r="R365" s="185"/>
      <c r="S365" s="185"/>
    </row>
    <row r="366" spans="1:19">
      <c r="A366" s="185"/>
      <c r="B366" s="661"/>
      <c r="C366" s="185"/>
      <c r="D366" s="185"/>
      <c r="E366" s="185"/>
      <c r="F366" s="185"/>
      <c r="G366" s="185"/>
      <c r="H366" s="186"/>
      <c r="I366" s="186"/>
      <c r="J366" s="186"/>
      <c r="K366" s="185"/>
      <c r="L366" s="185"/>
      <c r="M366" s="186"/>
      <c r="N366" s="185"/>
      <c r="O366" s="185"/>
      <c r="P366" s="185"/>
      <c r="Q366" s="185"/>
      <c r="R366" s="185"/>
      <c r="S366" s="185"/>
    </row>
    <row r="367" spans="1:19">
      <c r="A367" s="185"/>
      <c r="B367" s="661"/>
      <c r="C367" s="185"/>
      <c r="D367" s="185"/>
      <c r="E367" s="185"/>
      <c r="F367" s="185"/>
      <c r="G367" s="185"/>
      <c r="H367" s="186"/>
      <c r="I367" s="186"/>
      <c r="J367" s="186"/>
      <c r="K367" s="185"/>
      <c r="L367" s="185"/>
      <c r="M367" s="186"/>
      <c r="N367" s="185"/>
      <c r="O367" s="185"/>
      <c r="P367" s="185"/>
      <c r="Q367" s="185"/>
      <c r="R367" s="185"/>
      <c r="S367" s="185"/>
    </row>
    <row r="368" spans="1:19">
      <c r="A368" s="185"/>
      <c r="B368" s="661"/>
      <c r="C368" s="185"/>
      <c r="D368" s="185"/>
      <c r="E368" s="185"/>
      <c r="F368" s="185"/>
      <c r="G368" s="185"/>
      <c r="H368" s="186"/>
      <c r="I368" s="186"/>
      <c r="J368" s="186"/>
      <c r="K368" s="185"/>
      <c r="L368" s="185"/>
      <c r="M368" s="186"/>
      <c r="N368" s="185"/>
      <c r="O368" s="185"/>
      <c r="P368" s="185"/>
      <c r="Q368" s="185"/>
      <c r="R368" s="185"/>
      <c r="S368" s="185"/>
    </row>
    <row r="369" spans="1:19">
      <c r="A369" s="185"/>
      <c r="B369" s="661"/>
      <c r="C369" s="185"/>
      <c r="D369" s="185"/>
      <c r="E369" s="185"/>
      <c r="F369" s="185"/>
      <c r="G369" s="185"/>
      <c r="H369" s="186"/>
      <c r="I369" s="186"/>
      <c r="J369" s="186"/>
      <c r="K369" s="185"/>
      <c r="L369" s="185"/>
      <c r="M369" s="186"/>
      <c r="N369" s="185"/>
      <c r="O369" s="185"/>
      <c r="P369" s="185"/>
      <c r="Q369" s="185"/>
      <c r="R369" s="185"/>
      <c r="S369" s="185"/>
    </row>
    <row r="370" spans="1:19">
      <c r="A370" s="185"/>
      <c r="B370" s="661"/>
      <c r="C370" s="185"/>
      <c r="D370" s="185"/>
      <c r="E370" s="185"/>
      <c r="F370" s="185"/>
      <c r="G370" s="185"/>
      <c r="H370" s="186"/>
      <c r="I370" s="186"/>
      <c r="J370" s="186"/>
      <c r="K370" s="185"/>
      <c r="L370" s="185"/>
      <c r="M370" s="186"/>
      <c r="N370" s="185"/>
      <c r="O370" s="185"/>
      <c r="P370" s="185"/>
      <c r="Q370" s="185"/>
      <c r="R370" s="185"/>
      <c r="S370" s="185"/>
    </row>
    <row r="371" spans="1:19">
      <c r="A371" s="185"/>
      <c r="B371" s="661"/>
      <c r="C371" s="185"/>
      <c r="D371" s="185"/>
      <c r="E371" s="185"/>
      <c r="F371" s="185"/>
      <c r="G371" s="185"/>
      <c r="H371" s="186"/>
      <c r="I371" s="186"/>
      <c r="J371" s="186"/>
      <c r="K371" s="185"/>
      <c r="L371" s="185"/>
      <c r="M371" s="186"/>
      <c r="N371" s="185"/>
      <c r="O371" s="185"/>
      <c r="P371" s="185"/>
      <c r="Q371" s="185"/>
      <c r="R371" s="185"/>
      <c r="S371" s="185"/>
    </row>
    <row r="372" spans="1:19">
      <c r="A372" s="185"/>
      <c r="B372" s="661"/>
      <c r="C372" s="185"/>
      <c r="D372" s="185"/>
      <c r="E372" s="185"/>
      <c r="F372" s="185"/>
      <c r="G372" s="185"/>
      <c r="H372" s="186"/>
      <c r="I372" s="186"/>
      <c r="J372" s="186"/>
      <c r="K372" s="185"/>
      <c r="L372" s="185"/>
      <c r="M372" s="186"/>
      <c r="N372" s="185"/>
      <c r="O372" s="185"/>
      <c r="P372" s="185"/>
      <c r="Q372" s="185"/>
      <c r="R372" s="185"/>
      <c r="S372" s="185"/>
    </row>
    <row r="373" spans="1:19">
      <c r="A373" s="185"/>
      <c r="B373" s="661"/>
      <c r="C373" s="185"/>
      <c r="D373" s="185"/>
      <c r="E373" s="185"/>
      <c r="F373" s="185"/>
      <c r="G373" s="185"/>
      <c r="H373" s="186"/>
      <c r="I373" s="186"/>
      <c r="J373" s="186"/>
      <c r="K373" s="185"/>
      <c r="L373" s="185"/>
      <c r="M373" s="186"/>
      <c r="N373" s="185"/>
      <c r="O373" s="185"/>
      <c r="P373" s="185"/>
      <c r="Q373" s="185"/>
      <c r="R373" s="185"/>
      <c r="S373" s="185"/>
    </row>
    <row r="374" spans="1:19">
      <c r="A374" s="185"/>
      <c r="B374" s="661"/>
      <c r="C374" s="185"/>
      <c r="D374" s="185"/>
      <c r="E374" s="185"/>
      <c r="F374" s="185"/>
      <c r="G374" s="185"/>
      <c r="H374" s="186"/>
      <c r="I374" s="186"/>
      <c r="J374" s="186"/>
      <c r="K374" s="185"/>
      <c r="L374" s="185"/>
      <c r="M374" s="186"/>
      <c r="N374" s="185"/>
      <c r="O374" s="185"/>
      <c r="P374" s="185"/>
      <c r="Q374" s="185"/>
      <c r="R374" s="185"/>
      <c r="S374" s="185"/>
    </row>
    <row r="375" spans="1:19">
      <c r="A375" s="185"/>
      <c r="B375" s="661"/>
      <c r="C375" s="185"/>
      <c r="D375" s="185"/>
      <c r="E375" s="185"/>
      <c r="F375" s="185"/>
      <c r="G375" s="185"/>
      <c r="H375" s="186"/>
      <c r="I375" s="186"/>
      <c r="J375" s="186"/>
      <c r="K375" s="185"/>
      <c r="L375" s="185"/>
      <c r="M375" s="186"/>
      <c r="N375" s="185"/>
      <c r="O375" s="185"/>
      <c r="P375" s="185"/>
      <c r="Q375" s="185"/>
      <c r="R375" s="185"/>
      <c r="S375" s="185"/>
    </row>
    <row r="376" spans="1:19">
      <c r="A376" s="185"/>
      <c r="B376" s="661"/>
      <c r="C376" s="185"/>
      <c r="D376" s="185"/>
      <c r="E376" s="185"/>
      <c r="F376" s="185"/>
      <c r="G376" s="185"/>
      <c r="H376" s="186"/>
      <c r="I376" s="186"/>
      <c r="J376" s="186"/>
      <c r="K376" s="185"/>
      <c r="L376" s="185"/>
      <c r="M376" s="186"/>
      <c r="N376" s="185"/>
      <c r="O376" s="185"/>
      <c r="P376" s="185"/>
      <c r="Q376" s="185"/>
      <c r="R376" s="185"/>
      <c r="S376" s="185"/>
    </row>
    <row r="377" spans="1:19">
      <c r="A377" s="185"/>
      <c r="B377" s="661"/>
      <c r="C377" s="185"/>
      <c r="D377" s="185"/>
      <c r="E377" s="185"/>
      <c r="F377" s="185"/>
      <c r="G377" s="185"/>
      <c r="H377" s="186"/>
      <c r="I377" s="186"/>
      <c r="J377" s="186"/>
      <c r="K377" s="185"/>
      <c r="L377" s="185"/>
      <c r="M377" s="186"/>
      <c r="N377" s="185"/>
      <c r="O377" s="185"/>
      <c r="P377" s="185"/>
      <c r="Q377" s="185"/>
      <c r="R377" s="185"/>
      <c r="S377" s="185"/>
    </row>
    <row r="378" spans="1:19">
      <c r="A378" s="185"/>
      <c r="B378" s="661"/>
      <c r="C378" s="185"/>
      <c r="D378" s="185"/>
      <c r="E378" s="185"/>
      <c r="F378" s="185"/>
      <c r="G378" s="185"/>
      <c r="H378" s="186"/>
      <c r="I378" s="186"/>
      <c r="J378" s="186"/>
      <c r="K378" s="185"/>
      <c r="L378" s="185"/>
      <c r="M378" s="186"/>
      <c r="N378" s="185"/>
      <c r="O378" s="185"/>
      <c r="P378" s="185"/>
      <c r="Q378" s="185"/>
      <c r="R378" s="185"/>
      <c r="S378" s="185"/>
    </row>
    <row r="379" spans="1:19">
      <c r="A379" s="185"/>
      <c r="B379" s="661"/>
      <c r="C379" s="185"/>
      <c r="D379" s="185"/>
      <c r="E379" s="185"/>
      <c r="F379" s="185"/>
      <c r="G379" s="185"/>
      <c r="H379" s="186"/>
      <c r="I379" s="186"/>
      <c r="J379" s="186"/>
      <c r="K379" s="185"/>
      <c r="L379" s="185"/>
      <c r="M379" s="186"/>
      <c r="N379" s="185"/>
      <c r="O379" s="185"/>
      <c r="P379" s="185"/>
      <c r="Q379" s="185"/>
      <c r="R379" s="185"/>
      <c r="S379" s="185"/>
    </row>
    <row r="380" spans="1:19">
      <c r="A380" s="185"/>
      <c r="B380" s="661"/>
      <c r="C380" s="185"/>
      <c r="D380" s="185"/>
      <c r="E380" s="185"/>
      <c r="F380" s="185"/>
      <c r="G380" s="185"/>
      <c r="H380" s="186"/>
      <c r="I380" s="186"/>
      <c r="J380" s="186"/>
      <c r="K380" s="185"/>
      <c r="L380" s="185"/>
      <c r="M380" s="186"/>
      <c r="N380" s="185"/>
      <c r="O380" s="185"/>
      <c r="P380" s="185"/>
      <c r="Q380" s="185"/>
      <c r="R380" s="185"/>
      <c r="S380" s="185"/>
    </row>
    <row r="381" spans="1:19">
      <c r="A381" s="185"/>
      <c r="B381" s="661"/>
      <c r="C381" s="185"/>
      <c r="D381" s="185"/>
      <c r="E381" s="185"/>
      <c r="F381" s="185"/>
      <c r="G381" s="185"/>
      <c r="H381" s="186"/>
      <c r="I381" s="186"/>
      <c r="J381" s="186"/>
      <c r="K381" s="185"/>
      <c r="L381" s="185"/>
      <c r="M381" s="186"/>
      <c r="N381" s="185"/>
      <c r="O381" s="185"/>
      <c r="P381" s="185"/>
      <c r="Q381" s="185"/>
      <c r="R381" s="185"/>
      <c r="S381" s="185"/>
    </row>
    <row r="382" spans="1:19">
      <c r="A382" s="185"/>
      <c r="B382" s="661"/>
      <c r="C382" s="185"/>
      <c r="D382" s="185"/>
      <c r="E382" s="185"/>
      <c r="F382" s="185"/>
      <c r="G382" s="185"/>
      <c r="H382" s="186"/>
      <c r="I382" s="186"/>
      <c r="J382" s="186"/>
      <c r="K382" s="185"/>
      <c r="L382" s="185"/>
      <c r="M382" s="186"/>
      <c r="N382" s="185"/>
      <c r="O382" s="185"/>
      <c r="P382" s="185"/>
      <c r="Q382" s="185"/>
      <c r="R382" s="185"/>
      <c r="S382" s="185"/>
    </row>
    <row r="383" spans="1:19">
      <c r="A383" s="185"/>
      <c r="B383" s="661"/>
      <c r="C383" s="185"/>
      <c r="D383" s="185"/>
      <c r="E383" s="185"/>
      <c r="F383" s="185"/>
      <c r="G383" s="185"/>
      <c r="H383" s="186"/>
      <c r="I383" s="186"/>
      <c r="J383" s="186"/>
      <c r="K383" s="185"/>
      <c r="L383" s="185"/>
      <c r="M383" s="186"/>
      <c r="N383" s="185"/>
      <c r="O383" s="185"/>
      <c r="P383" s="185"/>
      <c r="Q383" s="185"/>
      <c r="R383" s="185"/>
      <c r="S383" s="185"/>
    </row>
    <row r="384" spans="1:19">
      <c r="A384" s="185"/>
      <c r="B384" s="661"/>
      <c r="C384" s="185"/>
      <c r="D384" s="185"/>
      <c r="E384" s="185"/>
      <c r="F384" s="185"/>
      <c r="G384" s="185"/>
      <c r="H384" s="186"/>
      <c r="I384" s="186"/>
      <c r="J384" s="186"/>
      <c r="K384" s="185"/>
      <c r="L384" s="185"/>
      <c r="M384" s="186"/>
      <c r="N384" s="185"/>
      <c r="O384" s="185"/>
      <c r="P384" s="185"/>
      <c r="Q384" s="185"/>
      <c r="R384" s="185"/>
      <c r="S384" s="185"/>
    </row>
    <row r="385" spans="1:19">
      <c r="A385" s="185"/>
      <c r="B385" s="661"/>
      <c r="C385" s="185"/>
      <c r="D385" s="185"/>
      <c r="E385" s="185"/>
      <c r="F385" s="185"/>
      <c r="G385" s="185"/>
      <c r="H385" s="186"/>
      <c r="I385" s="186"/>
      <c r="J385" s="186"/>
      <c r="K385" s="185"/>
      <c r="L385" s="185"/>
      <c r="M385" s="186"/>
      <c r="N385" s="185"/>
      <c r="O385" s="185"/>
      <c r="P385" s="185"/>
      <c r="Q385" s="185"/>
      <c r="R385" s="185"/>
      <c r="S385" s="185"/>
    </row>
    <row r="386" spans="1:19">
      <c r="A386" s="185"/>
      <c r="B386" s="661"/>
      <c r="C386" s="185"/>
      <c r="D386" s="185"/>
      <c r="E386" s="185"/>
      <c r="F386" s="185"/>
      <c r="G386" s="185"/>
      <c r="H386" s="186"/>
      <c r="I386" s="186"/>
      <c r="J386" s="186"/>
      <c r="K386" s="185"/>
      <c r="L386" s="185"/>
      <c r="M386" s="186"/>
      <c r="N386" s="185"/>
      <c r="O386" s="185"/>
      <c r="P386" s="185"/>
      <c r="Q386" s="185"/>
      <c r="R386" s="185"/>
      <c r="S386" s="185"/>
    </row>
    <row r="387" spans="1:19">
      <c r="A387" s="185"/>
      <c r="B387" s="661"/>
      <c r="C387" s="185"/>
      <c r="D387" s="185"/>
      <c r="E387" s="185"/>
      <c r="F387" s="185"/>
      <c r="G387" s="185"/>
      <c r="H387" s="186"/>
      <c r="I387" s="186"/>
      <c r="J387" s="186"/>
      <c r="K387" s="185"/>
      <c r="L387" s="185"/>
      <c r="M387" s="186"/>
      <c r="N387" s="185"/>
      <c r="O387" s="185"/>
      <c r="P387" s="185"/>
      <c r="Q387" s="185"/>
      <c r="R387" s="185"/>
      <c r="S387" s="185"/>
    </row>
    <row r="388" spans="1:19">
      <c r="A388" s="185"/>
      <c r="B388" s="661"/>
      <c r="C388" s="185"/>
      <c r="D388" s="185"/>
      <c r="E388" s="185"/>
      <c r="F388" s="185"/>
      <c r="G388" s="185"/>
      <c r="H388" s="186"/>
      <c r="I388" s="186"/>
      <c r="J388" s="186"/>
      <c r="K388" s="185"/>
      <c r="L388" s="185"/>
      <c r="M388" s="186"/>
      <c r="N388" s="185"/>
      <c r="O388" s="185"/>
      <c r="P388" s="185"/>
      <c r="Q388" s="185"/>
      <c r="R388" s="185"/>
      <c r="S388" s="185"/>
    </row>
    <row r="389" spans="1:19">
      <c r="A389" s="185"/>
      <c r="B389" s="661"/>
      <c r="C389" s="185"/>
      <c r="D389" s="185"/>
      <c r="E389" s="185"/>
      <c r="F389" s="185"/>
      <c r="G389" s="185"/>
      <c r="H389" s="186"/>
      <c r="I389" s="186"/>
      <c r="J389" s="186"/>
      <c r="K389" s="185"/>
      <c r="L389" s="185"/>
      <c r="M389" s="186"/>
      <c r="N389" s="185"/>
      <c r="O389" s="185"/>
      <c r="P389" s="185"/>
      <c r="Q389" s="185"/>
      <c r="R389" s="185"/>
      <c r="S389" s="185"/>
    </row>
    <row r="390" spans="1:19">
      <c r="A390" s="185"/>
      <c r="B390" s="661"/>
      <c r="C390" s="185"/>
      <c r="D390" s="185"/>
      <c r="E390" s="185"/>
      <c r="F390" s="185"/>
      <c r="G390" s="185"/>
      <c r="H390" s="186"/>
      <c r="I390" s="186"/>
      <c r="J390" s="186"/>
      <c r="K390" s="185"/>
      <c r="L390" s="185"/>
      <c r="M390" s="186"/>
      <c r="N390" s="185"/>
      <c r="O390" s="185"/>
      <c r="P390" s="185"/>
      <c r="Q390" s="185"/>
      <c r="R390" s="185"/>
      <c r="S390" s="185"/>
    </row>
    <row r="391" spans="1:19">
      <c r="A391" s="185"/>
      <c r="B391" s="661"/>
      <c r="C391" s="185"/>
      <c r="D391" s="185"/>
      <c r="E391" s="185"/>
      <c r="F391" s="185"/>
      <c r="G391" s="185"/>
      <c r="H391" s="186"/>
      <c r="I391" s="186"/>
      <c r="J391" s="186"/>
      <c r="K391" s="185"/>
      <c r="L391" s="185"/>
      <c r="M391" s="186"/>
      <c r="N391" s="185"/>
      <c r="O391" s="185"/>
      <c r="P391" s="185"/>
      <c r="Q391" s="185"/>
      <c r="R391" s="185"/>
      <c r="S391" s="185"/>
    </row>
    <row r="392" spans="1:19">
      <c r="A392" s="185"/>
      <c r="B392" s="661"/>
      <c r="C392" s="185"/>
      <c r="D392" s="185"/>
      <c r="E392" s="185"/>
      <c r="F392" s="185"/>
      <c r="G392" s="185"/>
      <c r="H392" s="186"/>
      <c r="I392" s="186"/>
      <c r="J392" s="186"/>
      <c r="K392" s="185"/>
      <c r="L392" s="185"/>
      <c r="M392" s="186"/>
      <c r="N392" s="185"/>
      <c r="O392" s="185"/>
      <c r="P392" s="185"/>
      <c r="Q392" s="185"/>
      <c r="R392" s="185"/>
      <c r="S392" s="185"/>
    </row>
    <row r="393" spans="1:19">
      <c r="A393" s="185"/>
      <c r="B393" s="661"/>
      <c r="C393" s="185"/>
      <c r="D393" s="185"/>
      <c r="E393" s="185"/>
      <c r="F393" s="185"/>
      <c r="G393" s="185"/>
      <c r="H393" s="186"/>
      <c r="I393" s="186"/>
      <c r="J393" s="186"/>
      <c r="K393" s="185"/>
      <c r="L393" s="185"/>
      <c r="M393" s="186"/>
      <c r="N393" s="185"/>
      <c r="O393" s="185"/>
      <c r="P393" s="185"/>
      <c r="Q393" s="185"/>
      <c r="R393" s="185"/>
      <c r="S393" s="185"/>
    </row>
    <row r="394" spans="1:19">
      <c r="A394" s="185"/>
      <c r="B394" s="661"/>
      <c r="C394" s="185"/>
      <c r="D394" s="185"/>
      <c r="E394" s="185"/>
      <c r="F394" s="185"/>
      <c r="G394" s="185"/>
      <c r="H394" s="186"/>
      <c r="I394" s="186"/>
      <c r="J394" s="186"/>
      <c r="K394" s="185"/>
      <c r="L394" s="185"/>
      <c r="M394" s="186"/>
      <c r="N394" s="185"/>
      <c r="O394" s="185"/>
      <c r="P394" s="185"/>
      <c r="Q394" s="185"/>
      <c r="R394" s="185"/>
      <c r="S394" s="185"/>
    </row>
    <row r="395" spans="1:19">
      <c r="A395" s="185"/>
      <c r="B395" s="661"/>
      <c r="C395" s="185"/>
      <c r="D395" s="185"/>
      <c r="E395" s="185"/>
      <c r="F395" s="185"/>
      <c r="G395" s="185"/>
      <c r="H395" s="186"/>
      <c r="I395" s="186"/>
      <c r="J395" s="186"/>
      <c r="K395" s="185"/>
      <c r="L395" s="185"/>
      <c r="M395" s="186"/>
      <c r="N395" s="185"/>
      <c r="O395" s="185"/>
      <c r="P395" s="185"/>
      <c r="Q395" s="185"/>
      <c r="R395" s="185"/>
      <c r="S395" s="185"/>
    </row>
    <row r="396" spans="1:19">
      <c r="A396" s="185"/>
      <c r="B396" s="661"/>
      <c r="C396" s="185"/>
      <c r="D396" s="185"/>
      <c r="E396" s="185"/>
      <c r="F396" s="185"/>
      <c r="G396" s="185"/>
      <c r="H396" s="186"/>
      <c r="I396" s="186"/>
      <c r="J396" s="186"/>
      <c r="K396" s="185"/>
      <c r="L396" s="185"/>
      <c r="M396" s="186"/>
      <c r="N396" s="185"/>
      <c r="O396" s="185"/>
      <c r="P396" s="185"/>
      <c r="Q396" s="185"/>
      <c r="R396" s="185"/>
      <c r="S396" s="185"/>
    </row>
    <row r="397" spans="1:19">
      <c r="A397" s="185"/>
      <c r="B397" s="661"/>
      <c r="C397" s="185"/>
      <c r="D397" s="185"/>
      <c r="E397" s="185"/>
      <c r="F397" s="185"/>
      <c r="G397" s="185"/>
      <c r="H397" s="186"/>
      <c r="I397" s="186"/>
      <c r="J397" s="186"/>
      <c r="K397" s="185"/>
      <c r="L397" s="185"/>
      <c r="M397" s="186"/>
      <c r="N397" s="185"/>
      <c r="O397" s="185"/>
      <c r="P397" s="185"/>
      <c r="Q397" s="185"/>
      <c r="R397" s="185"/>
      <c r="S397" s="185"/>
    </row>
    <row r="398" spans="1:19">
      <c r="A398" s="185"/>
      <c r="B398" s="661"/>
      <c r="C398" s="185"/>
      <c r="D398" s="185"/>
      <c r="E398" s="185"/>
      <c r="F398" s="185"/>
      <c r="G398" s="185"/>
      <c r="H398" s="186"/>
      <c r="I398" s="186"/>
      <c r="J398" s="186"/>
      <c r="K398" s="185"/>
      <c r="L398" s="185"/>
      <c r="M398" s="186"/>
      <c r="N398" s="185"/>
      <c r="O398" s="185"/>
      <c r="P398" s="185"/>
      <c r="Q398" s="185"/>
      <c r="R398" s="185"/>
      <c r="S398" s="185"/>
    </row>
    <row r="399" spans="1:19">
      <c r="A399" s="185"/>
      <c r="B399" s="661"/>
      <c r="C399" s="185"/>
      <c r="D399" s="185"/>
      <c r="E399" s="185"/>
      <c r="F399" s="185"/>
      <c r="G399" s="185"/>
      <c r="H399" s="186"/>
      <c r="I399" s="186"/>
      <c r="J399" s="186"/>
      <c r="K399" s="185"/>
      <c r="L399" s="185"/>
      <c r="M399" s="186"/>
      <c r="N399" s="185"/>
      <c r="O399" s="185"/>
      <c r="P399" s="185"/>
      <c r="Q399" s="185"/>
      <c r="R399" s="185"/>
      <c r="S399" s="185"/>
    </row>
    <row r="400" spans="1:19">
      <c r="A400" s="185"/>
      <c r="B400" s="661"/>
      <c r="C400" s="185"/>
      <c r="D400" s="185"/>
      <c r="E400" s="185"/>
      <c r="F400" s="185"/>
      <c r="G400" s="185"/>
      <c r="H400" s="186"/>
      <c r="I400" s="186"/>
      <c r="J400" s="186"/>
      <c r="K400" s="185"/>
      <c r="L400" s="185"/>
      <c r="M400" s="186"/>
      <c r="N400" s="185"/>
      <c r="O400" s="185"/>
      <c r="P400" s="185"/>
      <c r="Q400" s="185"/>
      <c r="R400" s="185"/>
      <c r="S400" s="185"/>
    </row>
    <row r="401" spans="1:19">
      <c r="A401" s="185"/>
      <c r="B401" s="661"/>
      <c r="C401" s="185"/>
      <c r="D401" s="185"/>
      <c r="E401" s="185"/>
      <c r="F401" s="185"/>
      <c r="G401" s="185"/>
      <c r="H401" s="186"/>
      <c r="I401" s="186"/>
      <c r="J401" s="186"/>
      <c r="K401" s="185"/>
      <c r="L401" s="185"/>
      <c r="M401" s="186"/>
      <c r="N401" s="185"/>
      <c r="O401" s="185"/>
      <c r="P401" s="185"/>
      <c r="Q401" s="185"/>
      <c r="R401" s="185"/>
      <c r="S401" s="185"/>
    </row>
    <row r="402" spans="1:19">
      <c r="A402" s="185"/>
      <c r="B402" s="661"/>
      <c r="C402" s="185"/>
      <c r="D402" s="185"/>
      <c r="E402" s="185"/>
      <c r="F402" s="185"/>
      <c r="G402" s="185"/>
      <c r="H402" s="186"/>
      <c r="I402" s="186"/>
      <c r="J402" s="186"/>
      <c r="K402" s="185"/>
      <c r="L402" s="185"/>
      <c r="M402" s="186"/>
      <c r="N402" s="185"/>
      <c r="O402" s="185"/>
      <c r="P402" s="185"/>
      <c r="Q402" s="185"/>
      <c r="R402" s="185"/>
      <c r="S402" s="185"/>
    </row>
    <row r="403" spans="1:19">
      <c r="A403" s="185"/>
      <c r="B403" s="661"/>
      <c r="C403" s="185"/>
      <c r="D403" s="185"/>
      <c r="E403" s="185"/>
      <c r="F403" s="185"/>
      <c r="G403" s="185"/>
      <c r="H403" s="186"/>
      <c r="I403" s="186"/>
      <c r="J403" s="186"/>
      <c r="K403" s="185"/>
      <c r="L403" s="185"/>
      <c r="M403" s="186"/>
      <c r="N403" s="185"/>
      <c r="O403" s="185"/>
      <c r="P403" s="185"/>
      <c r="Q403" s="185"/>
      <c r="R403" s="185"/>
      <c r="S403" s="185"/>
    </row>
    <row r="404" spans="1:19">
      <c r="A404" s="185"/>
      <c r="B404" s="661"/>
      <c r="C404" s="185"/>
      <c r="D404" s="185"/>
      <c r="E404" s="185"/>
      <c r="F404" s="185"/>
      <c r="G404" s="185"/>
      <c r="H404" s="186"/>
      <c r="I404" s="186"/>
      <c r="J404" s="186"/>
      <c r="K404" s="185"/>
      <c r="L404" s="185"/>
      <c r="M404" s="186"/>
      <c r="N404" s="185"/>
      <c r="O404" s="185"/>
      <c r="P404" s="185"/>
      <c r="Q404" s="185"/>
      <c r="R404" s="185"/>
      <c r="S404" s="185"/>
    </row>
    <row r="405" spans="1:19">
      <c r="A405" s="185"/>
      <c r="B405" s="661"/>
      <c r="C405" s="185"/>
      <c r="D405" s="185"/>
      <c r="E405" s="185"/>
      <c r="F405" s="185"/>
      <c r="G405" s="185"/>
      <c r="H405" s="186"/>
      <c r="I405" s="186"/>
      <c r="J405" s="186"/>
      <c r="K405" s="185"/>
      <c r="L405" s="185"/>
      <c r="M405" s="186"/>
      <c r="N405" s="185"/>
      <c r="O405" s="185"/>
      <c r="P405" s="185"/>
      <c r="Q405" s="185"/>
      <c r="R405" s="185"/>
      <c r="S405" s="185"/>
    </row>
    <row r="406" spans="1:19">
      <c r="A406" s="185"/>
      <c r="B406" s="661"/>
      <c r="C406" s="185"/>
      <c r="D406" s="185"/>
      <c r="E406" s="185"/>
      <c r="F406" s="185"/>
      <c r="G406" s="185"/>
      <c r="H406" s="186"/>
      <c r="I406" s="186"/>
      <c r="J406" s="186"/>
      <c r="K406" s="185"/>
      <c r="L406" s="185"/>
      <c r="M406" s="186"/>
      <c r="N406" s="185"/>
      <c r="O406" s="185"/>
      <c r="P406" s="185"/>
      <c r="Q406" s="185"/>
      <c r="R406" s="185"/>
      <c r="S406" s="185"/>
    </row>
    <row r="407" spans="1:19">
      <c r="A407" s="185"/>
      <c r="B407" s="661"/>
      <c r="C407" s="185"/>
      <c r="D407" s="185"/>
      <c r="E407" s="185"/>
      <c r="F407" s="185"/>
      <c r="G407" s="185"/>
      <c r="H407" s="186"/>
      <c r="I407" s="186"/>
      <c r="J407" s="186"/>
      <c r="K407" s="185"/>
      <c r="L407" s="185"/>
      <c r="M407" s="186"/>
      <c r="N407" s="185"/>
      <c r="O407" s="185"/>
      <c r="P407" s="185"/>
      <c r="Q407" s="185"/>
      <c r="R407" s="185"/>
      <c r="S407" s="185"/>
    </row>
    <row r="408" spans="1:19">
      <c r="A408" s="185"/>
      <c r="B408" s="661"/>
      <c r="C408" s="185"/>
      <c r="D408" s="185"/>
      <c r="E408" s="185"/>
      <c r="F408" s="185"/>
      <c r="G408" s="185"/>
      <c r="H408" s="186"/>
      <c r="I408" s="186"/>
      <c r="J408" s="186"/>
      <c r="K408" s="185"/>
      <c r="L408" s="185"/>
      <c r="M408" s="186"/>
      <c r="N408" s="185"/>
      <c r="O408" s="185"/>
      <c r="P408" s="185"/>
      <c r="Q408" s="185"/>
      <c r="R408" s="185"/>
      <c r="S408" s="185"/>
    </row>
    <row r="409" spans="1:19">
      <c r="A409" s="185"/>
      <c r="B409" s="661"/>
      <c r="C409" s="185"/>
      <c r="D409" s="185"/>
      <c r="E409" s="185"/>
      <c r="F409" s="185"/>
      <c r="G409" s="185"/>
      <c r="H409" s="186"/>
      <c r="I409" s="186"/>
      <c r="J409" s="186"/>
      <c r="K409" s="185"/>
      <c r="L409" s="185"/>
      <c r="M409" s="186"/>
      <c r="N409" s="185"/>
      <c r="O409" s="185"/>
      <c r="P409" s="185"/>
      <c r="Q409" s="185"/>
      <c r="R409" s="185"/>
      <c r="S409" s="185"/>
    </row>
    <row r="410" spans="1:19">
      <c r="A410" s="185"/>
      <c r="B410" s="661"/>
      <c r="C410" s="185"/>
      <c r="D410" s="185"/>
      <c r="E410" s="185"/>
      <c r="F410" s="185"/>
      <c r="G410" s="185"/>
      <c r="H410" s="186"/>
      <c r="I410" s="186"/>
      <c r="J410" s="186"/>
      <c r="K410" s="185"/>
      <c r="L410" s="185"/>
      <c r="M410" s="186"/>
      <c r="N410" s="185"/>
      <c r="O410" s="185"/>
      <c r="P410" s="185"/>
      <c r="Q410" s="185"/>
      <c r="R410" s="185"/>
      <c r="S410" s="185"/>
    </row>
    <row r="411" spans="1:19">
      <c r="A411" s="185"/>
      <c r="B411" s="661"/>
      <c r="C411" s="185"/>
      <c r="D411" s="185"/>
      <c r="E411" s="185"/>
      <c r="F411" s="185"/>
      <c r="G411" s="185"/>
      <c r="H411" s="186"/>
      <c r="I411" s="186"/>
      <c r="J411" s="186"/>
      <c r="K411" s="185"/>
      <c r="L411" s="185"/>
      <c r="M411" s="186"/>
      <c r="N411" s="185"/>
      <c r="O411" s="185"/>
      <c r="P411" s="185"/>
      <c r="Q411" s="185"/>
      <c r="R411" s="185"/>
      <c r="S411" s="185"/>
    </row>
    <row r="412" spans="1:19">
      <c r="A412" s="185"/>
      <c r="B412" s="661"/>
      <c r="C412" s="185"/>
      <c r="D412" s="185"/>
      <c r="E412" s="185"/>
      <c r="F412" s="185"/>
      <c r="G412" s="185"/>
      <c r="H412" s="186"/>
      <c r="I412" s="186"/>
      <c r="J412" s="186"/>
      <c r="K412" s="185"/>
      <c r="L412" s="185"/>
      <c r="M412" s="186"/>
      <c r="N412" s="185"/>
      <c r="O412" s="185"/>
      <c r="P412" s="185"/>
      <c r="Q412" s="185"/>
      <c r="R412" s="185"/>
      <c r="S412" s="185"/>
    </row>
    <row r="413" spans="1:19">
      <c r="A413" s="185"/>
      <c r="B413" s="661"/>
      <c r="C413" s="185"/>
      <c r="D413" s="185"/>
      <c r="E413" s="185"/>
      <c r="F413" s="185"/>
      <c r="G413" s="185"/>
      <c r="H413" s="186"/>
      <c r="I413" s="186"/>
      <c r="J413" s="186"/>
      <c r="K413" s="185"/>
      <c r="L413" s="185"/>
      <c r="M413" s="186"/>
      <c r="N413" s="185"/>
      <c r="O413" s="185"/>
      <c r="P413" s="185"/>
      <c r="Q413" s="185"/>
      <c r="R413" s="185"/>
      <c r="S413" s="185"/>
    </row>
    <row r="414" spans="1:19">
      <c r="A414" s="185"/>
      <c r="B414" s="661"/>
      <c r="C414" s="185"/>
      <c r="D414" s="185"/>
      <c r="E414" s="185"/>
      <c r="F414" s="185"/>
      <c r="G414" s="185"/>
      <c r="H414" s="186"/>
      <c r="I414" s="186"/>
      <c r="J414" s="186"/>
      <c r="K414" s="185"/>
      <c r="L414" s="185"/>
      <c r="M414" s="186"/>
      <c r="N414" s="185"/>
      <c r="O414" s="185"/>
      <c r="P414" s="185"/>
      <c r="Q414" s="185"/>
      <c r="R414" s="185"/>
      <c r="S414" s="185"/>
    </row>
    <row r="415" spans="1:19">
      <c r="A415" s="185"/>
      <c r="B415" s="661"/>
      <c r="C415" s="185"/>
      <c r="D415" s="185"/>
      <c r="E415" s="185"/>
      <c r="F415" s="185"/>
      <c r="G415" s="185"/>
      <c r="H415" s="186"/>
      <c r="I415" s="186"/>
      <c r="J415" s="186"/>
      <c r="K415" s="185"/>
      <c r="L415" s="185"/>
      <c r="M415" s="186"/>
      <c r="N415" s="185"/>
      <c r="O415" s="185"/>
      <c r="P415" s="185"/>
      <c r="Q415" s="185"/>
      <c r="R415" s="185"/>
      <c r="S415" s="185"/>
    </row>
    <row r="416" spans="1:19">
      <c r="A416" s="185"/>
      <c r="B416" s="661"/>
      <c r="C416" s="185"/>
      <c r="D416" s="185"/>
      <c r="E416" s="185"/>
      <c r="F416" s="185"/>
      <c r="G416" s="185"/>
      <c r="H416" s="186"/>
      <c r="I416" s="186"/>
      <c r="J416" s="186"/>
      <c r="K416" s="185"/>
      <c r="L416" s="185"/>
      <c r="M416" s="186"/>
      <c r="N416" s="185"/>
      <c r="O416" s="185"/>
      <c r="P416" s="185"/>
      <c r="Q416" s="185"/>
      <c r="R416" s="185"/>
      <c r="S416" s="185"/>
    </row>
    <row r="417" spans="1:19">
      <c r="A417" s="185"/>
      <c r="B417" s="661"/>
      <c r="C417" s="185"/>
      <c r="D417" s="185"/>
      <c r="E417" s="185"/>
      <c r="F417" s="185"/>
      <c r="G417" s="185"/>
      <c r="H417" s="186"/>
      <c r="I417" s="186"/>
      <c r="J417" s="186"/>
      <c r="K417" s="185"/>
      <c r="L417" s="185"/>
      <c r="M417" s="186"/>
      <c r="N417" s="185"/>
      <c r="O417" s="185"/>
      <c r="P417" s="185"/>
      <c r="Q417" s="185"/>
      <c r="R417" s="185"/>
      <c r="S417" s="185"/>
    </row>
    <row r="418" spans="1:19">
      <c r="A418" s="185"/>
      <c r="B418" s="661"/>
      <c r="C418" s="185"/>
      <c r="D418" s="185"/>
      <c r="E418" s="185"/>
      <c r="F418" s="185"/>
      <c r="G418" s="185"/>
      <c r="H418" s="186"/>
      <c r="I418" s="186"/>
      <c r="J418" s="186"/>
      <c r="K418" s="185"/>
      <c r="L418" s="185"/>
      <c r="M418" s="186"/>
      <c r="N418" s="185"/>
      <c r="O418" s="185"/>
      <c r="P418" s="185"/>
      <c r="Q418" s="185"/>
      <c r="R418" s="185"/>
      <c r="S418" s="185"/>
    </row>
    <row r="419" spans="1:19">
      <c r="A419" s="185"/>
      <c r="B419" s="661"/>
      <c r="C419" s="185"/>
      <c r="D419" s="185"/>
      <c r="E419" s="185"/>
      <c r="F419" s="185"/>
      <c r="G419" s="185"/>
      <c r="H419" s="186"/>
      <c r="I419" s="186"/>
      <c r="J419" s="186"/>
      <c r="K419" s="185"/>
      <c r="L419" s="185"/>
      <c r="M419" s="186"/>
      <c r="N419" s="185"/>
      <c r="O419" s="185"/>
      <c r="P419" s="185"/>
      <c r="Q419" s="185"/>
      <c r="R419" s="185"/>
      <c r="S419" s="185"/>
    </row>
    <row r="420" spans="1:19">
      <c r="A420" s="185"/>
      <c r="B420" s="661"/>
      <c r="C420" s="185"/>
      <c r="D420" s="185"/>
      <c r="E420" s="185"/>
      <c r="F420" s="185"/>
      <c r="G420" s="185"/>
      <c r="H420" s="186"/>
      <c r="I420" s="186"/>
      <c r="J420" s="186"/>
      <c r="K420" s="185"/>
      <c r="L420" s="185"/>
      <c r="M420" s="186"/>
      <c r="N420" s="185"/>
      <c r="O420" s="185"/>
      <c r="P420" s="185"/>
      <c r="Q420" s="185"/>
      <c r="R420" s="185"/>
      <c r="S420" s="185"/>
    </row>
    <row r="421" spans="1:19">
      <c r="A421" s="185"/>
      <c r="B421" s="661"/>
      <c r="C421" s="185"/>
      <c r="D421" s="185"/>
      <c r="E421" s="185"/>
      <c r="F421" s="185"/>
      <c r="G421" s="185"/>
      <c r="H421" s="186"/>
      <c r="I421" s="186"/>
      <c r="J421" s="186"/>
      <c r="K421" s="185"/>
      <c r="L421" s="185"/>
      <c r="M421" s="186"/>
      <c r="N421" s="185"/>
      <c r="O421" s="185"/>
      <c r="P421" s="185"/>
      <c r="Q421" s="185"/>
      <c r="R421" s="185"/>
      <c r="S421" s="185"/>
    </row>
    <row r="422" spans="1:19">
      <c r="A422" s="185"/>
      <c r="B422" s="661"/>
      <c r="C422" s="185"/>
      <c r="D422" s="185"/>
      <c r="E422" s="185"/>
      <c r="F422" s="185"/>
      <c r="G422" s="185"/>
      <c r="H422" s="186"/>
      <c r="I422" s="186"/>
      <c r="J422" s="186"/>
      <c r="K422" s="185"/>
      <c r="L422" s="185"/>
      <c r="M422" s="186"/>
      <c r="N422" s="185"/>
      <c r="O422" s="185"/>
      <c r="P422" s="185"/>
      <c r="Q422" s="185"/>
      <c r="R422" s="185"/>
      <c r="S422" s="185"/>
    </row>
    <row r="423" spans="1:19">
      <c r="A423" s="185"/>
      <c r="B423" s="661"/>
      <c r="C423" s="185"/>
      <c r="D423" s="185"/>
      <c r="E423" s="185"/>
      <c r="F423" s="185"/>
      <c r="G423" s="185"/>
      <c r="H423" s="186"/>
      <c r="I423" s="186"/>
      <c r="J423" s="186"/>
      <c r="K423" s="185"/>
      <c r="L423" s="185"/>
      <c r="M423" s="186"/>
      <c r="N423" s="185"/>
      <c r="O423" s="185"/>
      <c r="P423" s="185"/>
      <c r="Q423" s="185"/>
      <c r="R423" s="185"/>
      <c r="S423" s="185"/>
    </row>
    <row r="424" spans="1:19">
      <c r="A424" s="185"/>
      <c r="B424" s="661"/>
      <c r="C424" s="185"/>
      <c r="D424" s="185"/>
      <c r="E424" s="185"/>
      <c r="F424" s="185"/>
      <c r="G424" s="185"/>
      <c r="H424" s="186"/>
      <c r="I424" s="186"/>
      <c r="J424" s="186"/>
      <c r="K424" s="185"/>
      <c r="L424" s="185"/>
      <c r="M424" s="186"/>
      <c r="N424" s="185"/>
      <c r="O424" s="185"/>
      <c r="P424" s="185"/>
      <c r="Q424" s="185"/>
      <c r="R424" s="185"/>
      <c r="S424" s="185"/>
    </row>
    <row r="425" spans="1:19">
      <c r="A425" s="185"/>
      <c r="B425" s="661"/>
      <c r="C425" s="185"/>
      <c r="D425" s="185"/>
      <c r="E425" s="185"/>
      <c r="F425" s="185"/>
      <c r="G425" s="185"/>
      <c r="H425" s="186"/>
      <c r="I425" s="186"/>
      <c r="J425" s="186"/>
      <c r="K425" s="185"/>
      <c r="L425" s="185"/>
      <c r="M425" s="186"/>
      <c r="N425" s="185"/>
      <c r="O425" s="185"/>
      <c r="P425" s="185"/>
      <c r="Q425" s="185"/>
      <c r="R425" s="185"/>
      <c r="S425" s="185"/>
    </row>
    <row r="426" spans="1:19">
      <c r="A426" s="185"/>
      <c r="B426" s="661"/>
      <c r="C426" s="185"/>
      <c r="D426" s="185"/>
      <c r="E426" s="185"/>
      <c r="F426" s="185"/>
      <c r="G426" s="185"/>
      <c r="H426" s="186"/>
      <c r="I426" s="186"/>
      <c r="J426" s="186"/>
      <c r="K426" s="185"/>
      <c r="L426" s="185"/>
      <c r="M426" s="186"/>
      <c r="N426" s="185"/>
      <c r="O426" s="185"/>
      <c r="P426" s="185"/>
      <c r="Q426" s="185"/>
      <c r="R426" s="185"/>
      <c r="S426" s="185"/>
    </row>
    <row r="427" spans="1:19">
      <c r="A427" s="185"/>
      <c r="B427" s="661"/>
      <c r="C427" s="185"/>
      <c r="D427" s="185"/>
      <c r="E427" s="185"/>
      <c r="F427" s="185"/>
      <c r="G427" s="185"/>
      <c r="H427" s="186"/>
      <c r="I427" s="186"/>
      <c r="J427" s="186"/>
      <c r="K427" s="185"/>
      <c r="L427" s="185"/>
      <c r="M427" s="186"/>
      <c r="N427" s="185"/>
      <c r="O427" s="185"/>
      <c r="P427" s="185"/>
      <c r="Q427" s="185"/>
      <c r="R427" s="185"/>
      <c r="S427" s="185"/>
    </row>
    <row r="428" spans="1:19">
      <c r="A428" s="185"/>
      <c r="B428" s="661"/>
      <c r="C428" s="185"/>
      <c r="D428" s="185"/>
      <c r="E428" s="185"/>
      <c r="F428" s="185"/>
      <c r="G428" s="185"/>
      <c r="H428" s="186"/>
      <c r="I428" s="186"/>
      <c r="J428" s="186"/>
      <c r="K428" s="185"/>
      <c r="L428" s="185"/>
      <c r="M428" s="186"/>
      <c r="N428" s="185"/>
      <c r="O428" s="185"/>
      <c r="P428" s="185"/>
      <c r="Q428" s="185"/>
      <c r="R428" s="185"/>
      <c r="S428" s="185"/>
    </row>
    <row r="429" spans="1:19">
      <c r="A429" s="185"/>
      <c r="B429" s="661"/>
      <c r="C429" s="185"/>
      <c r="D429" s="185"/>
      <c r="E429" s="185"/>
      <c r="F429" s="185"/>
      <c r="G429" s="185"/>
      <c r="H429" s="186"/>
      <c r="I429" s="186"/>
      <c r="J429" s="186"/>
      <c r="K429" s="185"/>
      <c r="L429" s="185"/>
      <c r="M429" s="186"/>
      <c r="N429" s="185"/>
      <c r="O429" s="185"/>
      <c r="P429" s="185"/>
      <c r="Q429" s="185"/>
      <c r="R429" s="185"/>
      <c r="S429" s="185"/>
    </row>
    <row r="430" spans="1:19">
      <c r="A430" s="185"/>
      <c r="B430" s="661"/>
      <c r="C430" s="185"/>
      <c r="D430" s="185"/>
      <c r="E430" s="185"/>
      <c r="F430" s="185"/>
      <c r="G430" s="185"/>
      <c r="H430" s="186"/>
      <c r="I430" s="186"/>
      <c r="J430" s="186"/>
      <c r="K430" s="185"/>
      <c r="L430" s="185"/>
      <c r="M430" s="186"/>
      <c r="N430" s="185"/>
      <c r="O430" s="185"/>
      <c r="P430" s="185"/>
      <c r="Q430" s="185"/>
      <c r="R430" s="185"/>
      <c r="S430" s="185"/>
    </row>
    <row r="431" spans="1:19">
      <c r="A431" s="185"/>
      <c r="B431" s="661"/>
      <c r="C431" s="185"/>
      <c r="D431" s="185"/>
      <c r="E431" s="185"/>
      <c r="F431" s="185"/>
      <c r="G431" s="185"/>
      <c r="H431" s="186"/>
      <c r="I431" s="186"/>
      <c r="J431" s="186"/>
      <c r="K431" s="185"/>
      <c r="L431" s="185"/>
      <c r="M431" s="186"/>
      <c r="N431" s="185"/>
      <c r="O431" s="185"/>
      <c r="P431" s="185"/>
      <c r="Q431" s="185"/>
      <c r="R431" s="185"/>
      <c r="S431" s="185"/>
    </row>
    <row r="432" spans="1:19">
      <c r="A432" s="185"/>
      <c r="B432" s="661"/>
      <c r="C432" s="185"/>
      <c r="D432" s="185"/>
      <c r="E432" s="185"/>
      <c r="F432" s="185"/>
      <c r="G432" s="185"/>
      <c r="H432" s="186"/>
      <c r="I432" s="186"/>
      <c r="J432" s="186"/>
      <c r="K432" s="185"/>
      <c r="L432" s="185"/>
      <c r="M432" s="186"/>
      <c r="N432" s="185"/>
      <c r="O432" s="185"/>
      <c r="P432" s="185"/>
      <c r="Q432" s="185"/>
      <c r="R432" s="185"/>
      <c r="S432" s="185"/>
    </row>
    <row r="433" spans="1:19">
      <c r="A433" s="185"/>
      <c r="B433" s="661"/>
      <c r="C433" s="185"/>
      <c r="D433" s="185"/>
      <c r="E433" s="185"/>
      <c r="F433" s="185"/>
      <c r="G433" s="185"/>
      <c r="H433" s="186"/>
      <c r="I433" s="186"/>
      <c r="J433" s="186"/>
      <c r="K433" s="185"/>
      <c r="L433" s="185"/>
      <c r="M433" s="186"/>
      <c r="N433" s="185"/>
      <c r="O433" s="185"/>
      <c r="P433" s="185"/>
      <c r="Q433" s="185"/>
      <c r="R433" s="185"/>
      <c r="S433" s="185"/>
    </row>
    <row r="434" spans="1:19">
      <c r="A434" s="185"/>
      <c r="B434" s="661"/>
      <c r="C434" s="185"/>
      <c r="D434" s="185"/>
      <c r="E434" s="185"/>
      <c r="F434" s="185"/>
      <c r="G434" s="185"/>
      <c r="H434" s="186"/>
      <c r="I434" s="186"/>
      <c r="J434" s="186"/>
      <c r="K434" s="185"/>
      <c r="L434" s="185"/>
      <c r="M434" s="186"/>
      <c r="N434" s="185"/>
      <c r="O434" s="185"/>
      <c r="P434" s="185"/>
      <c r="Q434" s="185"/>
      <c r="R434" s="185"/>
      <c r="S434" s="185"/>
    </row>
    <row r="435" spans="1:19">
      <c r="A435" s="185"/>
      <c r="B435" s="661"/>
      <c r="C435" s="185"/>
      <c r="D435" s="185"/>
      <c r="E435" s="185"/>
      <c r="F435" s="185"/>
      <c r="G435" s="185"/>
      <c r="H435" s="186"/>
      <c r="I435" s="186"/>
      <c r="J435" s="186"/>
      <c r="K435" s="185"/>
      <c r="L435" s="185"/>
      <c r="M435" s="186"/>
      <c r="N435" s="185"/>
      <c r="O435" s="185"/>
      <c r="P435" s="185"/>
      <c r="Q435" s="185"/>
      <c r="R435" s="185"/>
      <c r="S435" s="185"/>
    </row>
    <row r="436" spans="1:19">
      <c r="A436" s="185"/>
      <c r="B436" s="661"/>
      <c r="C436" s="185"/>
      <c r="D436" s="185"/>
      <c r="E436" s="185"/>
      <c r="F436" s="185"/>
      <c r="G436" s="185"/>
      <c r="H436" s="186"/>
      <c r="I436" s="186"/>
      <c r="J436" s="186"/>
      <c r="K436" s="185"/>
      <c r="L436" s="185"/>
      <c r="M436" s="186"/>
      <c r="N436" s="185"/>
      <c r="O436" s="185"/>
      <c r="P436" s="185"/>
      <c r="Q436" s="185"/>
      <c r="R436" s="185"/>
      <c r="S436" s="185"/>
    </row>
    <row r="437" spans="1:19">
      <c r="A437" s="185"/>
      <c r="B437" s="661"/>
      <c r="C437" s="185"/>
      <c r="D437" s="185"/>
      <c r="E437" s="185"/>
      <c r="F437" s="185"/>
      <c r="G437" s="185"/>
      <c r="H437" s="186"/>
      <c r="I437" s="186"/>
      <c r="J437" s="186"/>
      <c r="K437" s="185"/>
      <c r="L437" s="185"/>
      <c r="M437" s="186"/>
      <c r="N437" s="185"/>
      <c r="O437" s="185"/>
      <c r="P437" s="185"/>
      <c r="Q437" s="185"/>
      <c r="R437" s="185"/>
      <c r="S437" s="185"/>
    </row>
    <row r="438" spans="1:19">
      <c r="A438" s="185"/>
      <c r="B438" s="661"/>
      <c r="C438" s="185"/>
      <c r="D438" s="185"/>
      <c r="E438" s="185"/>
      <c r="F438" s="185"/>
      <c r="G438" s="185"/>
      <c r="H438" s="186"/>
      <c r="I438" s="186"/>
      <c r="J438" s="186"/>
      <c r="K438" s="185"/>
      <c r="L438" s="185"/>
      <c r="M438" s="186"/>
      <c r="N438" s="185"/>
      <c r="O438" s="185"/>
      <c r="P438" s="185"/>
      <c r="Q438" s="185"/>
      <c r="R438" s="185"/>
      <c r="S438" s="185"/>
    </row>
    <row r="439" spans="1:19">
      <c r="A439" s="185"/>
      <c r="B439" s="661"/>
      <c r="C439" s="185"/>
      <c r="D439" s="185"/>
      <c r="E439" s="185"/>
      <c r="F439" s="185"/>
      <c r="G439" s="185"/>
      <c r="H439" s="186"/>
      <c r="I439" s="186"/>
      <c r="J439" s="186"/>
      <c r="K439" s="185"/>
      <c r="L439" s="185"/>
      <c r="M439" s="186"/>
      <c r="N439" s="185"/>
      <c r="O439" s="185"/>
      <c r="P439" s="185"/>
      <c r="Q439" s="185"/>
      <c r="R439" s="185"/>
      <c r="S439" s="185"/>
    </row>
    <row r="440" spans="1:19">
      <c r="A440" s="185"/>
      <c r="B440" s="661"/>
      <c r="C440" s="185"/>
      <c r="D440" s="185"/>
      <c r="E440" s="185"/>
      <c r="F440" s="185"/>
      <c r="G440" s="185"/>
      <c r="H440" s="186"/>
      <c r="I440" s="186"/>
      <c r="J440" s="186"/>
      <c r="K440" s="185"/>
      <c r="L440" s="185"/>
      <c r="M440" s="186"/>
      <c r="N440" s="185"/>
      <c r="O440" s="185"/>
      <c r="P440" s="185"/>
      <c r="Q440" s="185"/>
      <c r="R440" s="185"/>
      <c r="S440" s="185"/>
    </row>
    <row r="441" spans="1:19">
      <c r="A441" s="185"/>
      <c r="B441" s="661"/>
      <c r="C441" s="185"/>
      <c r="D441" s="185"/>
      <c r="E441" s="185"/>
      <c r="F441" s="185"/>
      <c r="G441" s="185"/>
      <c r="H441" s="186"/>
      <c r="I441" s="186"/>
      <c r="J441" s="186"/>
      <c r="K441" s="185"/>
      <c r="L441" s="185"/>
      <c r="M441" s="186"/>
      <c r="N441" s="185"/>
      <c r="O441" s="185"/>
      <c r="P441" s="185"/>
      <c r="Q441" s="185"/>
      <c r="R441" s="185"/>
      <c r="S441" s="185"/>
    </row>
    <row r="442" spans="1:19">
      <c r="A442" s="185"/>
      <c r="B442" s="661"/>
      <c r="C442" s="185"/>
      <c r="D442" s="185"/>
      <c r="E442" s="185"/>
      <c r="F442" s="185"/>
      <c r="G442" s="185"/>
      <c r="H442" s="186"/>
      <c r="I442" s="186"/>
      <c r="J442" s="186"/>
      <c r="K442" s="185"/>
      <c r="L442" s="185"/>
      <c r="M442" s="186"/>
      <c r="N442" s="185"/>
      <c r="O442" s="185"/>
      <c r="P442" s="185"/>
      <c r="Q442" s="185"/>
      <c r="R442" s="185"/>
      <c r="S442" s="185"/>
    </row>
    <row r="443" spans="1:19">
      <c r="A443" s="185"/>
      <c r="B443" s="661"/>
      <c r="C443" s="185"/>
      <c r="D443" s="185"/>
      <c r="E443" s="185"/>
      <c r="F443" s="185"/>
      <c r="G443" s="185"/>
      <c r="H443" s="186"/>
      <c r="I443" s="186"/>
      <c r="J443" s="186"/>
      <c r="K443" s="185"/>
      <c r="L443" s="185"/>
      <c r="M443" s="186"/>
      <c r="N443" s="185"/>
      <c r="O443" s="185"/>
      <c r="P443" s="185"/>
      <c r="Q443" s="185"/>
      <c r="R443" s="185"/>
      <c r="S443" s="185"/>
    </row>
    <row r="444" spans="1:19">
      <c r="A444" s="185"/>
      <c r="B444" s="661"/>
      <c r="C444" s="185"/>
      <c r="D444" s="185"/>
      <c r="E444" s="185"/>
      <c r="F444" s="185"/>
      <c r="G444" s="185"/>
      <c r="H444" s="186"/>
      <c r="I444" s="186"/>
      <c r="J444" s="186"/>
      <c r="K444" s="185"/>
      <c r="L444" s="185"/>
      <c r="M444" s="186"/>
      <c r="N444" s="185"/>
      <c r="O444" s="185"/>
      <c r="P444" s="185"/>
      <c r="Q444" s="185"/>
      <c r="R444" s="185"/>
      <c r="S444" s="185"/>
    </row>
    <row r="445" spans="1:19">
      <c r="A445" s="185"/>
      <c r="B445" s="661"/>
      <c r="C445" s="185"/>
      <c r="D445" s="185"/>
      <c r="E445" s="185"/>
      <c r="F445" s="185"/>
      <c r="G445" s="185"/>
      <c r="H445" s="186"/>
      <c r="I445" s="186"/>
      <c r="J445" s="186"/>
      <c r="K445" s="185"/>
      <c r="L445" s="185"/>
      <c r="M445" s="186"/>
      <c r="N445" s="185"/>
      <c r="O445" s="185"/>
      <c r="P445" s="185"/>
      <c r="Q445" s="185"/>
      <c r="R445" s="185"/>
      <c r="S445" s="185"/>
    </row>
    <row r="446" spans="1:19">
      <c r="A446" s="185"/>
      <c r="B446" s="661"/>
      <c r="C446" s="185"/>
      <c r="D446" s="185"/>
      <c r="E446" s="185"/>
      <c r="F446" s="185"/>
      <c r="G446" s="185"/>
      <c r="H446" s="186"/>
      <c r="I446" s="186"/>
      <c r="J446" s="186"/>
      <c r="K446" s="185"/>
      <c r="L446" s="185"/>
      <c r="M446" s="186"/>
      <c r="N446" s="185"/>
      <c r="O446" s="185"/>
      <c r="P446" s="185"/>
      <c r="Q446" s="185"/>
      <c r="R446" s="185"/>
      <c r="S446" s="185"/>
    </row>
    <row r="447" spans="1:19">
      <c r="A447" s="185"/>
      <c r="B447" s="661"/>
      <c r="C447" s="185"/>
      <c r="D447" s="185"/>
      <c r="E447" s="185"/>
      <c r="F447" s="185"/>
      <c r="G447" s="185"/>
      <c r="H447" s="186"/>
      <c r="I447" s="186"/>
      <c r="J447" s="186"/>
      <c r="K447" s="185"/>
      <c r="L447" s="185"/>
      <c r="M447" s="186"/>
      <c r="N447" s="185"/>
      <c r="O447" s="185"/>
      <c r="P447" s="185"/>
      <c r="Q447" s="185"/>
      <c r="R447" s="185"/>
      <c r="S447" s="185"/>
    </row>
    <row r="448" spans="1:19">
      <c r="A448" s="185"/>
      <c r="B448" s="661"/>
      <c r="C448" s="185"/>
      <c r="D448" s="185"/>
      <c r="E448" s="185"/>
      <c r="F448" s="185"/>
      <c r="G448" s="185"/>
      <c r="H448" s="186"/>
      <c r="I448" s="186"/>
      <c r="J448" s="186"/>
      <c r="K448" s="185"/>
      <c r="L448" s="185"/>
      <c r="M448" s="186"/>
      <c r="N448" s="185"/>
      <c r="O448" s="185"/>
      <c r="P448" s="185"/>
      <c r="Q448" s="185"/>
      <c r="R448" s="185"/>
      <c r="S448" s="185"/>
    </row>
    <row r="449" spans="1:19">
      <c r="A449" s="185"/>
      <c r="B449" s="661"/>
      <c r="C449" s="185"/>
      <c r="D449" s="185"/>
      <c r="E449" s="185"/>
      <c r="F449" s="185"/>
      <c r="G449" s="185"/>
      <c r="H449" s="186"/>
      <c r="I449" s="186"/>
      <c r="J449" s="186"/>
      <c r="K449" s="185"/>
      <c r="L449" s="185"/>
      <c r="M449" s="186"/>
      <c r="N449" s="185"/>
      <c r="O449" s="185"/>
      <c r="P449" s="185"/>
      <c r="Q449" s="185"/>
      <c r="R449" s="185"/>
      <c r="S449" s="185"/>
    </row>
    <row r="450" spans="1:19">
      <c r="A450" s="185"/>
      <c r="B450" s="661"/>
      <c r="C450" s="185"/>
      <c r="D450" s="185"/>
      <c r="E450" s="185"/>
      <c r="F450" s="185"/>
      <c r="G450" s="185"/>
      <c r="H450" s="186"/>
      <c r="I450" s="186"/>
      <c r="J450" s="186"/>
      <c r="K450" s="185"/>
      <c r="L450" s="185"/>
      <c r="M450" s="186"/>
      <c r="N450" s="185"/>
      <c r="O450" s="185"/>
      <c r="P450" s="185"/>
      <c r="Q450" s="185"/>
      <c r="R450" s="185"/>
      <c r="S450" s="185"/>
    </row>
    <row r="451" spans="1:19">
      <c r="A451" s="185"/>
      <c r="B451" s="661"/>
      <c r="C451" s="185"/>
      <c r="D451" s="185"/>
      <c r="E451" s="185"/>
      <c r="F451" s="185"/>
      <c r="G451" s="185"/>
      <c r="H451" s="186"/>
      <c r="I451" s="186"/>
      <c r="J451" s="186"/>
      <c r="K451" s="185"/>
      <c r="L451" s="185"/>
      <c r="M451" s="186"/>
      <c r="N451" s="185"/>
      <c r="O451" s="185"/>
      <c r="P451" s="185"/>
      <c r="Q451" s="185"/>
      <c r="R451" s="185"/>
      <c r="S451" s="185"/>
    </row>
    <row r="452" spans="1:19">
      <c r="A452" s="185"/>
      <c r="B452" s="661"/>
      <c r="C452" s="185"/>
      <c r="D452" s="185"/>
      <c r="E452" s="185"/>
      <c r="F452" s="185"/>
      <c r="G452" s="185"/>
      <c r="H452" s="186"/>
      <c r="I452" s="186"/>
      <c r="J452" s="186"/>
      <c r="K452" s="185"/>
      <c r="L452" s="185"/>
      <c r="M452" s="186"/>
      <c r="N452" s="185"/>
      <c r="O452" s="185"/>
      <c r="P452" s="185"/>
      <c r="Q452" s="185"/>
      <c r="R452" s="185"/>
      <c r="S452" s="185"/>
    </row>
    <row r="453" spans="1:19">
      <c r="A453" s="185"/>
      <c r="B453" s="661"/>
      <c r="C453" s="185"/>
      <c r="D453" s="185"/>
      <c r="E453" s="185"/>
      <c r="F453" s="185"/>
      <c r="G453" s="185"/>
      <c r="H453" s="186"/>
      <c r="I453" s="186"/>
      <c r="J453" s="186"/>
      <c r="K453" s="185"/>
      <c r="L453" s="185"/>
      <c r="M453" s="186"/>
      <c r="N453" s="185"/>
      <c r="O453" s="185"/>
      <c r="P453" s="185"/>
      <c r="Q453" s="185"/>
      <c r="R453" s="185"/>
      <c r="S453" s="185"/>
    </row>
    <row r="454" spans="1:19">
      <c r="A454" s="185"/>
      <c r="B454" s="661"/>
      <c r="C454" s="185"/>
      <c r="D454" s="185"/>
      <c r="E454" s="185"/>
      <c r="F454" s="185"/>
      <c r="G454" s="185"/>
      <c r="H454" s="186"/>
      <c r="I454" s="186"/>
      <c r="J454" s="186"/>
      <c r="K454" s="185"/>
      <c r="L454" s="185"/>
      <c r="M454" s="186"/>
      <c r="N454" s="185"/>
      <c r="O454" s="185"/>
      <c r="P454" s="185"/>
      <c r="Q454" s="185"/>
      <c r="R454" s="185"/>
      <c r="S454" s="185"/>
    </row>
    <row r="455" spans="1:19">
      <c r="A455" s="185"/>
      <c r="B455" s="661"/>
      <c r="C455" s="185"/>
      <c r="D455" s="185"/>
      <c r="E455" s="185"/>
      <c r="F455" s="185"/>
      <c r="G455" s="185"/>
      <c r="H455" s="186"/>
      <c r="I455" s="186"/>
      <c r="J455" s="186"/>
      <c r="K455" s="185"/>
      <c r="L455" s="185"/>
      <c r="M455" s="186"/>
      <c r="N455" s="185"/>
      <c r="O455" s="185"/>
      <c r="P455" s="185"/>
      <c r="Q455" s="185"/>
      <c r="R455" s="185"/>
      <c r="S455" s="185"/>
    </row>
    <row r="456" spans="1:19">
      <c r="A456" s="185"/>
      <c r="B456" s="661"/>
      <c r="C456" s="185"/>
      <c r="D456" s="185"/>
      <c r="E456" s="185"/>
      <c r="F456" s="185"/>
      <c r="G456" s="185"/>
      <c r="H456" s="186"/>
      <c r="I456" s="186"/>
      <c r="J456" s="186"/>
      <c r="K456" s="185"/>
      <c r="L456" s="185"/>
      <c r="M456" s="186"/>
      <c r="N456" s="185"/>
      <c r="O456" s="185"/>
      <c r="P456" s="185"/>
      <c r="Q456" s="185"/>
      <c r="R456" s="185"/>
      <c r="S456" s="185"/>
    </row>
    <row r="457" spans="1:19">
      <c r="A457" s="185"/>
      <c r="B457" s="661"/>
      <c r="C457" s="185"/>
      <c r="D457" s="185"/>
      <c r="E457" s="185"/>
      <c r="F457" s="185"/>
      <c r="G457" s="185"/>
      <c r="H457" s="186"/>
      <c r="I457" s="186"/>
      <c r="J457" s="186"/>
      <c r="K457" s="185"/>
      <c r="L457" s="185"/>
      <c r="M457" s="186"/>
      <c r="N457" s="185"/>
      <c r="O457" s="185"/>
      <c r="P457" s="185"/>
      <c r="Q457" s="185"/>
      <c r="R457" s="185"/>
      <c r="S457" s="185"/>
    </row>
    <row r="458" spans="1:19">
      <c r="A458" s="185"/>
      <c r="B458" s="661"/>
      <c r="C458" s="185"/>
      <c r="D458" s="185"/>
      <c r="E458" s="185"/>
      <c r="F458" s="185"/>
      <c r="G458" s="185"/>
      <c r="H458" s="186"/>
      <c r="I458" s="186"/>
      <c r="J458" s="186"/>
      <c r="K458" s="185"/>
      <c r="L458" s="185"/>
      <c r="M458" s="186"/>
      <c r="N458" s="185"/>
      <c r="O458" s="185"/>
      <c r="P458" s="185"/>
      <c r="Q458" s="185"/>
      <c r="R458" s="185"/>
      <c r="S458" s="185"/>
    </row>
    <row r="459" spans="1:19">
      <c r="A459" s="185"/>
      <c r="B459" s="661"/>
      <c r="C459" s="185"/>
      <c r="D459" s="185"/>
      <c r="E459" s="185"/>
      <c r="F459" s="185"/>
      <c r="G459" s="185"/>
      <c r="H459" s="186"/>
      <c r="I459" s="186"/>
      <c r="J459" s="186"/>
      <c r="K459" s="185"/>
      <c r="L459" s="185"/>
      <c r="M459" s="186"/>
      <c r="N459" s="185"/>
      <c r="O459" s="185"/>
      <c r="P459" s="185"/>
      <c r="Q459" s="185"/>
      <c r="R459" s="185"/>
      <c r="S459" s="185"/>
    </row>
    <row r="460" spans="1:19">
      <c r="A460" s="185"/>
      <c r="B460" s="661"/>
      <c r="C460" s="185"/>
      <c r="D460" s="185"/>
      <c r="E460" s="185"/>
      <c r="F460" s="185"/>
      <c r="G460" s="185"/>
      <c r="H460" s="186"/>
      <c r="I460" s="186"/>
      <c r="J460" s="186"/>
      <c r="K460" s="185"/>
      <c r="L460" s="185"/>
      <c r="M460" s="186"/>
      <c r="N460" s="185"/>
      <c r="O460" s="185"/>
      <c r="P460" s="185"/>
      <c r="Q460" s="185"/>
      <c r="R460" s="185"/>
      <c r="S460" s="185"/>
    </row>
    <row r="461" spans="1:19">
      <c r="A461" s="185"/>
      <c r="B461" s="661"/>
      <c r="C461" s="185"/>
      <c r="D461" s="185"/>
      <c r="E461" s="185"/>
      <c r="F461" s="185"/>
      <c r="G461" s="185"/>
      <c r="H461" s="186"/>
      <c r="I461" s="186"/>
      <c r="J461" s="186"/>
      <c r="K461" s="185"/>
      <c r="L461" s="185"/>
      <c r="M461" s="186"/>
      <c r="N461" s="185"/>
      <c r="O461" s="185"/>
      <c r="P461" s="185"/>
      <c r="Q461" s="185"/>
      <c r="R461" s="185"/>
      <c r="S461" s="185"/>
    </row>
    <row r="462" spans="1:19">
      <c r="A462" s="185"/>
      <c r="B462" s="661"/>
      <c r="C462" s="185"/>
      <c r="D462" s="185"/>
      <c r="E462" s="185"/>
      <c r="F462" s="185"/>
      <c r="G462" s="185"/>
      <c r="H462" s="186"/>
      <c r="I462" s="186"/>
      <c r="J462" s="186"/>
      <c r="K462" s="185"/>
      <c r="L462" s="185"/>
      <c r="M462" s="186"/>
      <c r="N462" s="185"/>
      <c r="O462" s="185"/>
      <c r="P462" s="185"/>
      <c r="Q462" s="185"/>
      <c r="R462" s="185"/>
      <c r="S462" s="185"/>
    </row>
    <row r="463" spans="1:19">
      <c r="A463" s="185"/>
      <c r="B463" s="661"/>
      <c r="C463" s="185"/>
      <c r="D463" s="185"/>
      <c r="E463" s="185"/>
      <c r="F463" s="185"/>
      <c r="G463" s="185"/>
      <c r="H463" s="186"/>
      <c r="I463" s="186"/>
      <c r="J463" s="186"/>
      <c r="K463" s="185"/>
      <c r="L463" s="185"/>
      <c r="M463" s="186"/>
      <c r="N463" s="185"/>
      <c r="O463" s="185"/>
      <c r="P463" s="185"/>
      <c r="Q463" s="185"/>
      <c r="R463" s="185"/>
      <c r="S463" s="185"/>
    </row>
    <row r="464" spans="1:19">
      <c r="A464" s="185"/>
      <c r="B464" s="661"/>
      <c r="C464" s="185"/>
      <c r="D464" s="185"/>
      <c r="E464" s="185"/>
      <c r="F464" s="185"/>
      <c r="G464" s="185"/>
      <c r="H464" s="186"/>
      <c r="I464" s="186"/>
      <c r="J464" s="186"/>
      <c r="K464" s="185"/>
      <c r="L464" s="185"/>
      <c r="M464" s="186"/>
      <c r="N464" s="185"/>
      <c r="O464" s="185"/>
      <c r="P464" s="185"/>
      <c r="Q464" s="185"/>
      <c r="R464" s="185"/>
      <c r="S464" s="185"/>
    </row>
    <row r="465" spans="1:19">
      <c r="A465" s="185"/>
      <c r="B465" s="661"/>
      <c r="C465" s="185"/>
      <c r="D465" s="185"/>
      <c r="E465" s="185"/>
      <c r="F465" s="185"/>
      <c r="G465" s="185"/>
      <c r="H465" s="186"/>
      <c r="I465" s="186"/>
      <c r="J465" s="186"/>
      <c r="K465" s="185"/>
      <c r="L465" s="185"/>
      <c r="M465" s="186"/>
      <c r="N465" s="185"/>
      <c r="O465" s="185"/>
      <c r="P465" s="185"/>
      <c r="Q465" s="185"/>
      <c r="R465" s="185"/>
      <c r="S465" s="185"/>
    </row>
    <row r="466" spans="1:19">
      <c r="A466" s="185"/>
      <c r="B466" s="661"/>
      <c r="C466" s="185"/>
      <c r="D466" s="185"/>
      <c r="E466" s="185"/>
      <c r="F466" s="185"/>
      <c r="G466" s="185"/>
      <c r="H466" s="186"/>
      <c r="I466" s="186"/>
      <c r="J466" s="186"/>
      <c r="K466" s="185"/>
      <c r="L466" s="185"/>
      <c r="M466" s="186"/>
      <c r="N466" s="185"/>
      <c r="O466" s="185"/>
      <c r="P466" s="185"/>
      <c r="Q466" s="185"/>
      <c r="R466" s="185"/>
      <c r="S466" s="185"/>
    </row>
    <row r="467" spans="1:19">
      <c r="A467" s="185"/>
      <c r="B467" s="661"/>
      <c r="C467" s="185"/>
      <c r="D467" s="185"/>
      <c r="E467" s="185"/>
      <c r="F467" s="185"/>
      <c r="G467" s="185"/>
      <c r="H467" s="186"/>
      <c r="I467" s="186"/>
      <c r="J467" s="186"/>
      <c r="K467" s="185"/>
      <c r="L467" s="185"/>
      <c r="M467" s="186"/>
      <c r="N467" s="185"/>
      <c r="O467" s="185"/>
      <c r="P467" s="185"/>
      <c r="Q467" s="185"/>
      <c r="R467" s="185"/>
      <c r="S467" s="185"/>
    </row>
    <row r="468" spans="1:19">
      <c r="A468" s="185"/>
      <c r="B468" s="661"/>
      <c r="C468" s="185"/>
      <c r="D468" s="185"/>
      <c r="E468" s="185"/>
      <c r="F468" s="185"/>
      <c r="G468" s="185"/>
      <c r="H468" s="186"/>
      <c r="I468" s="186"/>
      <c r="J468" s="186"/>
      <c r="K468" s="185"/>
      <c r="L468" s="185"/>
      <c r="M468" s="186"/>
      <c r="N468" s="185"/>
      <c r="O468" s="185"/>
      <c r="P468" s="185"/>
      <c r="Q468" s="185"/>
      <c r="R468" s="185"/>
      <c r="S468" s="185"/>
    </row>
    <row r="469" spans="1:19">
      <c r="A469" s="185"/>
      <c r="B469" s="661"/>
      <c r="C469" s="185"/>
      <c r="D469" s="185"/>
      <c r="E469" s="185"/>
      <c r="F469" s="185"/>
      <c r="G469" s="185"/>
      <c r="H469" s="186"/>
      <c r="I469" s="186"/>
      <c r="J469" s="186"/>
      <c r="K469" s="185"/>
      <c r="L469" s="185"/>
      <c r="M469" s="186"/>
      <c r="N469" s="185"/>
      <c r="O469" s="185"/>
      <c r="P469" s="185"/>
      <c r="Q469" s="185"/>
      <c r="R469" s="185"/>
      <c r="S469" s="185"/>
    </row>
    <row r="470" spans="1:19">
      <c r="A470" s="185"/>
      <c r="B470" s="661"/>
      <c r="C470" s="185"/>
      <c r="D470" s="185"/>
      <c r="E470" s="185"/>
      <c r="F470" s="185"/>
      <c r="G470" s="185"/>
      <c r="H470" s="186"/>
      <c r="I470" s="186"/>
      <c r="J470" s="186"/>
      <c r="K470" s="185"/>
      <c r="L470" s="185"/>
      <c r="M470" s="186"/>
      <c r="N470" s="185"/>
      <c r="O470" s="185"/>
      <c r="P470" s="185"/>
      <c r="Q470" s="185"/>
      <c r="R470" s="185"/>
      <c r="S470" s="185"/>
    </row>
    <row r="471" spans="1:19">
      <c r="A471" s="185"/>
      <c r="B471" s="661"/>
      <c r="C471" s="185"/>
      <c r="D471" s="185"/>
      <c r="E471" s="185"/>
      <c r="F471" s="185"/>
      <c r="G471" s="185"/>
      <c r="H471" s="186"/>
      <c r="I471" s="186"/>
      <c r="J471" s="186"/>
      <c r="K471" s="185"/>
      <c r="L471" s="185"/>
      <c r="M471" s="186"/>
      <c r="N471" s="185"/>
      <c r="O471" s="185"/>
      <c r="P471" s="185"/>
      <c r="Q471" s="185"/>
      <c r="R471" s="185"/>
      <c r="S471" s="185"/>
    </row>
    <row r="472" spans="1:19">
      <c r="A472" s="185"/>
      <c r="B472" s="661"/>
      <c r="C472" s="185"/>
      <c r="D472" s="185"/>
      <c r="E472" s="185"/>
      <c r="F472" s="185"/>
      <c r="G472" s="185"/>
      <c r="H472" s="186"/>
      <c r="I472" s="186"/>
      <c r="J472" s="186"/>
      <c r="K472" s="185"/>
      <c r="L472" s="185"/>
      <c r="M472" s="186"/>
      <c r="N472" s="185"/>
      <c r="O472" s="185"/>
      <c r="P472" s="185"/>
      <c r="Q472" s="185"/>
      <c r="R472" s="185"/>
      <c r="S472" s="185"/>
    </row>
    <row r="473" spans="1:19">
      <c r="A473" s="185"/>
      <c r="B473" s="661"/>
      <c r="C473" s="185"/>
      <c r="D473" s="185"/>
      <c r="E473" s="185"/>
      <c r="F473" s="185"/>
      <c r="G473" s="185"/>
      <c r="H473" s="186"/>
      <c r="I473" s="186"/>
      <c r="J473" s="186"/>
      <c r="K473" s="185"/>
      <c r="L473" s="185"/>
      <c r="M473" s="186"/>
      <c r="N473" s="185"/>
      <c r="O473" s="185"/>
      <c r="P473" s="185"/>
      <c r="Q473" s="185"/>
      <c r="R473" s="185"/>
      <c r="S473" s="185"/>
    </row>
    <row r="474" spans="1:19">
      <c r="A474" s="185"/>
      <c r="B474" s="661"/>
      <c r="C474" s="185"/>
      <c r="D474" s="185"/>
      <c r="E474" s="185"/>
      <c r="F474" s="185"/>
      <c r="G474" s="185"/>
      <c r="H474" s="186"/>
      <c r="I474" s="186"/>
      <c r="J474" s="186"/>
      <c r="K474" s="185"/>
      <c r="L474" s="185"/>
      <c r="M474" s="186"/>
      <c r="N474" s="185"/>
      <c r="O474" s="185"/>
      <c r="P474" s="185"/>
      <c r="Q474" s="185"/>
      <c r="R474" s="185"/>
      <c r="S474" s="185"/>
    </row>
    <row r="475" spans="1:19">
      <c r="A475" s="185"/>
      <c r="B475" s="661"/>
      <c r="C475" s="185"/>
      <c r="D475" s="185"/>
      <c r="E475" s="185"/>
      <c r="F475" s="185"/>
      <c r="G475" s="185"/>
      <c r="H475" s="186"/>
      <c r="I475" s="186"/>
      <c r="J475" s="186"/>
      <c r="K475" s="185"/>
      <c r="L475" s="185"/>
      <c r="M475" s="186"/>
      <c r="N475" s="185"/>
      <c r="O475" s="185"/>
      <c r="P475" s="185"/>
      <c r="Q475" s="185"/>
      <c r="R475" s="185"/>
      <c r="S475" s="185"/>
    </row>
    <row r="476" spans="1:19">
      <c r="A476" s="185"/>
      <c r="B476" s="661"/>
      <c r="C476" s="185"/>
      <c r="D476" s="185"/>
      <c r="E476" s="185"/>
      <c r="F476" s="185"/>
      <c r="G476" s="185"/>
      <c r="H476" s="186"/>
      <c r="I476" s="186"/>
      <c r="J476" s="186"/>
      <c r="K476" s="185"/>
      <c r="L476" s="185"/>
      <c r="M476" s="186"/>
      <c r="N476" s="185"/>
      <c r="O476" s="185"/>
      <c r="P476" s="185"/>
      <c r="Q476" s="185"/>
      <c r="R476" s="185"/>
      <c r="S476" s="185"/>
    </row>
    <row r="477" spans="1:19">
      <c r="A477" s="185"/>
      <c r="B477" s="661"/>
      <c r="C477" s="185"/>
      <c r="D477" s="185"/>
      <c r="E477" s="185"/>
      <c r="F477" s="185"/>
      <c r="G477" s="185"/>
      <c r="H477" s="186"/>
      <c r="I477" s="186"/>
      <c r="J477" s="186"/>
      <c r="K477" s="185"/>
      <c r="L477" s="185"/>
      <c r="M477" s="186"/>
      <c r="N477" s="185"/>
      <c r="O477" s="185"/>
      <c r="P477" s="185"/>
      <c r="Q477" s="185"/>
      <c r="R477" s="185"/>
      <c r="S477" s="185"/>
    </row>
    <row r="478" spans="1:19">
      <c r="A478" s="185"/>
      <c r="B478" s="661"/>
      <c r="C478" s="185"/>
      <c r="D478" s="185"/>
      <c r="E478" s="185"/>
      <c r="F478" s="185"/>
      <c r="G478" s="185"/>
      <c r="H478" s="186"/>
      <c r="I478" s="186"/>
      <c r="J478" s="186"/>
      <c r="K478" s="185"/>
      <c r="L478" s="185"/>
      <c r="M478" s="186"/>
      <c r="N478" s="185"/>
      <c r="O478" s="185"/>
      <c r="P478" s="185"/>
      <c r="Q478" s="185"/>
      <c r="R478" s="185"/>
      <c r="S478" s="185"/>
    </row>
    <row r="479" spans="1:19">
      <c r="A479" s="185"/>
      <c r="B479" s="661"/>
      <c r="C479" s="185"/>
      <c r="D479" s="185"/>
      <c r="E479" s="185"/>
      <c r="F479" s="185"/>
      <c r="G479" s="185"/>
      <c r="H479" s="186"/>
      <c r="I479" s="186"/>
      <c r="J479" s="186"/>
      <c r="K479" s="185"/>
      <c r="L479" s="185"/>
      <c r="M479" s="186"/>
      <c r="N479" s="185"/>
      <c r="O479" s="185"/>
      <c r="P479" s="185"/>
      <c r="Q479" s="185"/>
      <c r="R479" s="185"/>
      <c r="S479" s="185"/>
    </row>
    <row r="480" spans="1:19">
      <c r="A480" s="185"/>
      <c r="B480" s="661"/>
      <c r="C480" s="185"/>
      <c r="D480" s="185"/>
      <c r="E480" s="185"/>
      <c r="F480" s="185"/>
      <c r="G480" s="185"/>
      <c r="H480" s="186"/>
      <c r="I480" s="186"/>
      <c r="J480" s="186"/>
      <c r="K480" s="185"/>
      <c r="L480" s="185"/>
      <c r="M480" s="186"/>
      <c r="N480" s="185"/>
      <c r="O480" s="185"/>
      <c r="P480" s="185"/>
      <c r="Q480" s="185"/>
      <c r="R480" s="185"/>
      <c r="S480" s="185"/>
    </row>
    <row r="481" spans="1:19">
      <c r="A481" s="185"/>
      <c r="B481" s="661"/>
      <c r="C481" s="185"/>
      <c r="D481" s="185"/>
      <c r="E481" s="185"/>
      <c r="F481" s="185"/>
      <c r="G481" s="185"/>
      <c r="H481" s="186"/>
      <c r="I481" s="186"/>
      <c r="J481" s="186"/>
      <c r="K481" s="185"/>
      <c r="L481" s="185"/>
      <c r="M481" s="186"/>
      <c r="N481" s="185"/>
      <c r="O481" s="185"/>
      <c r="P481" s="185"/>
      <c r="Q481" s="185"/>
      <c r="R481" s="185"/>
      <c r="S481" s="185"/>
    </row>
    <row r="482" spans="1:19">
      <c r="A482" s="185"/>
      <c r="B482" s="661"/>
      <c r="C482" s="185"/>
      <c r="D482" s="185"/>
      <c r="E482" s="185"/>
      <c r="F482" s="185"/>
      <c r="G482" s="185"/>
      <c r="H482" s="186"/>
      <c r="I482" s="186"/>
      <c r="J482" s="186"/>
      <c r="K482" s="185"/>
      <c r="L482" s="185"/>
      <c r="M482" s="186"/>
      <c r="N482" s="185"/>
      <c r="O482" s="185"/>
      <c r="P482" s="185"/>
      <c r="Q482" s="185"/>
      <c r="R482" s="185"/>
      <c r="S482" s="185"/>
    </row>
    <row r="483" spans="1:19">
      <c r="A483" s="185"/>
      <c r="B483" s="661"/>
      <c r="C483" s="185"/>
      <c r="D483" s="185"/>
      <c r="E483" s="185"/>
      <c r="F483" s="185"/>
      <c r="G483" s="185"/>
      <c r="H483" s="186"/>
      <c r="I483" s="186"/>
      <c r="J483" s="186"/>
      <c r="K483" s="185"/>
      <c r="L483" s="185"/>
      <c r="M483" s="186"/>
      <c r="N483" s="185"/>
      <c r="O483" s="185"/>
      <c r="P483" s="185"/>
      <c r="Q483" s="185"/>
      <c r="R483" s="185"/>
      <c r="S483" s="185"/>
    </row>
    <row r="484" spans="1:19">
      <c r="A484" s="185"/>
      <c r="B484" s="661"/>
      <c r="C484" s="185"/>
      <c r="D484" s="185"/>
      <c r="E484" s="185"/>
      <c r="F484" s="185"/>
      <c r="G484" s="185"/>
      <c r="H484" s="186"/>
      <c r="I484" s="186"/>
      <c r="J484" s="186"/>
      <c r="K484" s="185"/>
      <c r="L484" s="185"/>
      <c r="M484" s="186"/>
      <c r="N484" s="185"/>
      <c r="O484" s="185"/>
      <c r="P484" s="185"/>
      <c r="Q484" s="185"/>
      <c r="R484" s="185"/>
      <c r="S484" s="185"/>
    </row>
    <row r="485" spans="1:19">
      <c r="A485" s="185"/>
      <c r="B485" s="661"/>
      <c r="C485" s="185"/>
      <c r="D485" s="185"/>
      <c r="E485" s="185"/>
      <c r="F485" s="185"/>
      <c r="G485" s="185"/>
      <c r="H485" s="186"/>
      <c r="I485" s="186"/>
      <c r="J485" s="186"/>
      <c r="K485" s="185"/>
      <c r="L485" s="185"/>
      <c r="M485" s="186"/>
      <c r="N485" s="185"/>
      <c r="O485" s="185"/>
      <c r="P485" s="185"/>
      <c r="Q485" s="185"/>
      <c r="R485" s="185"/>
      <c r="S485" s="185"/>
    </row>
    <row r="486" spans="1:19">
      <c r="A486" s="185"/>
      <c r="B486" s="661"/>
      <c r="C486" s="185"/>
      <c r="D486" s="185"/>
      <c r="E486" s="185"/>
      <c r="F486" s="185"/>
      <c r="G486" s="185"/>
      <c r="H486" s="186"/>
      <c r="I486" s="186"/>
      <c r="J486" s="186"/>
      <c r="K486" s="185"/>
      <c r="L486" s="185"/>
      <c r="M486" s="186"/>
      <c r="N486" s="185"/>
      <c r="O486" s="185"/>
      <c r="P486" s="185"/>
      <c r="Q486" s="185"/>
      <c r="R486" s="185"/>
      <c r="S486" s="185"/>
    </row>
    <row r="487" spans="1:19">
      <c r="A487" s="185"/>
      <c r="B487" s="661"/>
      <c r="C487" s="185"/>
      <c r="D487" s="185"/>
      <c r="E487" s="185"/>
      <c r="F487" s="185"/>
      <c r="G487" s="185"/>
      <c r="H487" s="186"/>
      <c r="I487" s="186"/>
      <c r="J487" s="186"/>
      <c r="K487" s="185"/>
      <c r="L487" s="185"/>
      <c r="M487" s="186"/>
      <c r="N487" s="185"/>
      <c r="O487" s="185"/>
      <c r="P487" s="185"/>
      <c r="Q487" s="185"/>
      <c r="R487" s="185"/>
      <c r="S487" s="185"/>
    </row>
    <row r="488" spans="1:19">
      <c r="A488" s="185"/>
      <c r="B488" s="661"/>
      <c r="C488" s="185"/>
      <c r="D488" s="185"/>
      <c r="E488" s="185"/>
      <c r="F488" s="185"/>
      <c r="G488" s="185"/>
      <c r="H488" s="186"/>
      <c r="I488" s="186"/>
      <c r="J488" s="186"/>
      <c r="K488" s="185"/>
      <c r="L488" s="185"/>
      <c r="M488" s="186"/>
      <c r="N488" s="185"/>
      <c r="O488" s="185"/>
      <c r="P488" s="185"/>
      <c r="Q488" s="185"/>
      <c r="R488" s="185"/>
      <c r="S488" s="185"/>
    </row>
    <row r="489" spans="1:19">
      <c r="A489" s="185"/>
      <c r="B489" s="661"/>
      <c r="C489" s="185"/>
      <c r="D489" s="185"/>
      <c r="E489" s="185"/>
      <c r="F489" s="185"/>
      <c r="G489" s="185"/>
      <c r="H489" s="186"/>
      <c r="I489" s="186"/>
      <c r="J489" s="186"/>
      <c r="K489" s="185"/>
      <c r="L489" s="185"/>
      <c r="M489" s="186"/>
      <c r="N489" s="185"/>
      <c r="O489" s="185"/>
      <c r="P489" s="185"/>
      <c r="Q489" s="185"/>
      <c r="R489" s="185"/>
      <c r="S489" s="185"/>
    </row>
    <row r="490" spans="1:19">
      <c r="A490" s="185"/>
      <c r="B490" s="661"/>
      <c r="C490" s="185"/>
      <c r="D490" s="185"/>
      <c r="E490" s="185"/>
      <c r="F490" s="185"/>
      <c r="G490" s="185"/>
      <c r="H490" s="186"/>
      <c r="I490" s="186"/>
      <c r="J490" s="186"/>
      <c r="K490" s="185"/>
      <c r="L490" s="185"/>
      <c r="M490" s="186"/>
      <c r="N490" s="185"/>
      <c r="O490" s="185"/>
      <c r="P490" s="185"/>
      <c r="Q490" s="185"/>
      <c r="R490" s="185"/>
      <c r="S490" s="185"/>
    </row>
    <row r="491" spans="1:19">
      <c r="A491" s="185"/>
      <c r="B491" s="661"/>
      <c r="C491" s="185"/>
      <c r="D491" s="185"/>
      <c r="E491" s="185"/>
      <c r="F491" s="185"/>
      <c r="G491" s="185"/>
      <c r="H491" s="186"/>
      <c r="I491" s="186"/>
      <c r="J491" s="186"/>
      <c r="K491" s="185"/>
      <c r="L491" s="185"/>
      <c r="M491" s="186"/>
      <c r="N491" s="185"/>
      <c r="O491" s="185"/>
      <c r="P491" s="185"/>
      <c r="Q491" s="185"/>
      <c r="R491" s="185"/>
      <c r="S491" s="185"/>
    </row>
    <row r="492" spans="1:19">
      <c r="A492" s="185"/>
      <c r="B492" s="661"/>
      <c r="C492" s="185"/>
      <c r="D492" s="185"/>
      <c r="E492" s="185"/>
      <c r="F492" s="185"/>
      <c r="G492" s="185"/>
      <c r="H492" s="186"/>
      <c r="I492" s="186"/>
      <c r="J492" s="186"/>
      <c r="K492" s="185"/>
      <c r="L492" s="185"/>
      <c r="M492" s="186"/>
      <c r="N492" s="185"/>
      <c r="O492" s="185"/>
      <c r="P492" s="185"/>
      <c r="Q492" s="185"/>
      <c r="R492" s="185"/>
      <c r="S492" s="185"/>
    </row>
    <row r="493" spans="1:19">
      <c r="A493" s="185"/>
      <c r="B493" s="661"/>
      <c r="C493" s="185"/>
      <c r="D493" s="185"/>
      <c r="E493" s="185"/>
      <c r="F493" s="185"/>
      <c r="G493" s="185"/>
      <c r="H493" s="186"/>
      <c r="I493" s="186"/>
      <c r="J493" s="186"/>
      <c r="K493" s="185"/>
      <c r="L493" s="185"/>
      <c r="M493" s="186"/>
      <c r="N493" s="185"/>
      <c r="O493" s="185"/>
      <c r="P493" s="185"/>
      <c r="Q493" s="185"/>
      <c r="R493" s="185"/>
      <c r="S493" s="185"/>
    </row>
    <row r="494" spans="1:19">
      <c r="A494" s="185"/>
      <c r="B494" s="661"/>
      <c r="C494" s="185"/>
      <c r="D494" s="185"/>
      <c r="E494" s="185"/>
      <c r="F494" s="185"/>
      <c r="G494" s="185"/>
      <c r="H494" s="186"/>
      <c r="I494" s="186"/>
      <c r="J494" s="186"/>
      <c r="K494" s="185"/>
      <c r="L494" s="185"/>
      <c r="M494" s="186"/>
      <c r="N494" s="185"/>
      <c r="O494" s="185"/>
      <c r="P494" s="185"/>
      <c r="Q494" s="185"/>
      <c r="R494" s="185"/>
      <c r="S494" s="185"/>
    </row>
    <row r="495" spans="1:19">
      <c r="A495" s="185"/>
      <c r="B495" s="661"/>
      <c r="C495" s="185"/>
      <c r="D495" s="185"/>
      <c r="E495" s="185"/>
      <c r="F495" s="185"/>
      <c r="G495" s="185"/>
      <c r="H495" s="186"/>
      <c r="I495" s="186"/>
      <c r="J495" s="186"/>
      <c r="K495" s="185"/>
      <c r="L495" s="185"/>
      <c r="M495" s="186"/>
      <c r="N495" s="185"/>
      <c r="O495" s="185"/>
      <c r="P495" s="185"/>
      <c r="Q495" s="185"/>
      <c r="R495" s="185"/>
      <c r="S495" s="185"/>
    </row>
    <row r="496" spans="1:19">
      <c r="A496" s="185"/>
      <c r="B496" s="661"/>
      <c r="C496" s="185"/>
      <c r="D496" s="185"/>
      <c r="E496" s="185"/>
      <c r="F496" s="185"/>
      <c r="G496" s="185"/>
      <c r="H496" s="186"/>
      <c r="I496" s="186"/>
      <c r="J496" s="186"/>
      <c r="K496" s="185"/>
      <c r="L496" s="185"/>
      <c r="M496" s="186"/>
      <c r="N496" s="185"/>
      <c r="O496" s="185"/>
      <c r="P496" s="185"/>
      <c r="Q496" s="185"/>
      <c r="R496" s="185"/>
      <c r="S496" s="185"/>
    </row>
    <row r="497" spans="1:19">
      <c r="A497" s="185"/>
      <c r="B497" s="661"/>
      <c r="C497" s="185"/>
      <c r="D497" s="185"/>
      <c r="E497" s="185"/>
      <c r="F497" s="185"/>
      <c r="G497" s="185"/>
      <c r="H497" s="186"/>
      <c r="I497" s="186"/>
      <c r="J497" s="186"/>
      <c r="K497" s="185"/>
      <c r="L497" s="185"/>
      <c r="M497" s="186"/>
      <c r="N497" s="185"/>
      <c r="O497" s="185"/>
      <c r="P497" s="185"/>
      <c r="Q497" s="185"/>
      <c r="R497" s="185"/>
      <c r="S497" s="185"/>
    </row>
    <row r="498" spans="1:19">
      <c r="A498" s="185"/>
      <c r="B498" s="661"/>
      <c r="C498" s="185"/>
      <c r="D498" s="185"/>
      <c r="E498" s="185"/>
      <c r="F498" s="185"/>
      <c r="G498" s="185"/>
      <c r="H498" s="186"/>
      <c r="I498" s="186"/>
      <c r="J498" s="186"/>
      <c r="K498" s="185"/>
      <c r="L498" s="185"/>
      <c r="M498" s="186"/>
      <c r="N498" s="185"/>
      <c r="O498" s="185"/>
      <c r="P498" s="185"/>
      <c r="Q498" s="185"/>
      <c r="R498" s="185"/>
      <c r="S498" s="185"/>
    </row>
    <row r="499" spans="1:19">
      <c r="A499" s="185"/>
      <c r="B499" s="661"/>
      <c r="C499" s="185"/>
      <c r="D499" s="185"/>
      <c r="E499" s="185"/>
      <c r="F499" s="185"/>
      <c r="G499" s="185"/>
      <c r="H499" s="186"/>
      <c r="I499" s="186"/>
      <c r="J499" s="186"/>
      <c r="K499" s="185"/>
      <c r="L499" s="185"/>
      <c r="M499" s="186"/>
      <c r="N499" s="185"/>
      <c r="O499" s="185"/>
      <c r="P499" s="185"/>
      <c r="Q499" s="185"/>
      <c r="R499" s="185"/>
      <c r="S499" s="185"/>
    </row>
    <row r="500" spans="1:19">
      <c r="A500" s="185"/>
      <c r="B500" s="661"/>
      <c r="C500" s="185"/>
      <c r="D500" s="185"/>
      <c r="E500" s="185"/>
      <c r="F500" s="185"/>
      <c r="G500" s="185"/>
      <c r="H500" s="186"/>
      <c r="I500" s="186"/>
      <c r="J500" s="186"/>
      <c r="K500" s="185"/>
      <c r="L500" s="185"/>
      <c r="M500" s="186"/>
      <c r="N500" s="185"/>
      <c r="O500" s="185"/>
      <c r="P500" s="185"/>
      <c r="Q500" s="185"/>
      <c r="R500" s="185"/>
      <c r="S500" s="185"/>
    </row>
    <row r="501" spans="1:19">
      <c r="A501" s="185"/>
      <c r="B501" s="661"/>
      <c r="C501" s="185"/>
      <c r="D501" s="185"/>
      <c r="E501" s="185"/>
      <c r="F501" s="185"/>
      <c r="G501" s="185"/>
      <c r="H501" s="186"/>
      <c r="I501" s="186"/>
      <c r="J501" s="186"/>
      <c r="K501" s="185"/>
      <c r="L501" s="185"/>
      <c r="M501" s="186"/>
      <c r="N501" s="185"/>
      <c r="O501" s="185"/>
      <c r="P501" s="185"/>
      <c r="Q501" s="185"/>
      <c r="R501" s="185"/>
      <c r="S501" s="185"/>
    </row>
    <row r="502" spans="1:19">
      <c r="A502" s="185"/>
      <c r="B502" s="661"/>
      <c r="C502" s="185"/>
      <c r="D502" s="185"/>
      <c r="E502" s="185"/>
      <c r="F502" s="185"/>
      <c r="G502" s="185"/>
      <c r="H502" s="186"/>
      <c r="I502" s="186"/>
      <c r="J502" s="186"/>
      <c r="K502" s="185"/>
      <c r="L502" s="185"/>
      <c r="M502" s="186"/>
      <c r="N502" s="185"/>
      <c r="O502" s="185"/>
      <c r="P502" s="185"/>
      <c r="Q502" s="185"/>
      <c r="R502" s="185"/>
      <c r="S502" s="185"/>
    </row>
    <row r="503" spans="1:19">
      <c r="A503" s="185"/>
      <c r="B503" s="661"/>
      <c r="C503" s="185"/>
      <c r="D503" s="185"/>
      <c r="E503" s="185"/>
      <c r="F503" s="185"/>
      <c r="G503" s="185"/>
      <c r="H503" s="186"/>
      <c r="I503" s="186"/>
      <c r="J503" s="186"/>
      <c r="K503" s="185"/>
      <c r="L503" s="185"/>
      <c r="M503" s="186"/>
      <c r="N503" s="185"/>
      <c r="O503" s="185"/>
      <c r="P503" s="185"/>
      <c r="Q503" s="185"/>
      <c r="R503" s="185"/>
      <c r="S503" s="185"/>
    </row>
    <row r="504" spans="1:19">
      <c r="A504" s="185"/>
      <c r="B504" s="661"/>
      <c r="C504" s="185"/>
      <c r="D504" s="185"/>
      <c r="E504" s="185"/>
      <c r="F504" s="185"/>
      <c r="G504" s="185"/>
      <c r="H504" s="186"/>
      <c r="I504" s="186"/>
      <c r="J504" s="186"/>
      <c r="K504" s="185"/>
      <c r="L504" s="185"/>
      <c r="M504" s="186"/>
      <c r="N504" s="185"/>
      <c r="O504" s="185"/>
      <c r="P504" s="185"/>
      <c r="Q504" s="185"/>
      <c r="R504" s="185"/>
      <c r="S504" s="185"/>
    </row>
    <row r="505" spans="1:19">
      <c r="A505" s="185"/>
      <c r="B505" s="661"/>
      <c r="C505" s="185"/>
      <c r="D505" s="185"/>
      <c r="E505" s="185"/>
      <c r="F505" s="185"/>
      <c r="G505" s="185"/>
      <c r="H505" s="186"/>
      <c r="I505" s="186"/>
      <c r="J505" s="186"/>
      <c r="K505" s="185"/>
      <c r="L505" s="185"/>
      <c r="M505" s="186"/>
      <c r="N505" s="185"/>
      <c r="O505" s="185"/>
      <c r="P505" s="185"/>
      <c r="Q505" s="185"/>
      <c r="R505" s="185"/>
      <c r="S505" s="185"/>
    </row>
    <row r="506" spans="1:19">
      <c r="A506" s="185"/>
      <c r="B506" s="661"/>
      <c r="C506" s="185"/>
      <c r="D506" s="185"/>
      <c r="E506" s="185"/>
      <c r="F506" s="185"/>
      <c r="G506" s="185"/>
      <c r="H506" s="186"/>
      <c r="I506" s="186"/>
      <c r="J506" s="186"/>
      <c r="K506" s="185"/>
      <c r="L506" s="185"/>
      <c r="M506" s="186"/>
      <c r="N506" s="185"/>
      <c r="O506" s="185"/>
      <c r="P506" s="185"/>
      <c r="Q506" s="185"/>
      <c r="R506" s="185"/>
      <c r="S506" s="185"/>
    </row>
    <row r="507" spans="1:19">
      <c r="A507" s="185"/>
      <c r="B507" s="661"/>
      <c r="C507" s="185"/>
      <c r="D507" s="185"/>
      <c r="E507" s="185"/>
      <c r="F507" s="185"/>
      <c r="G507" s="185"/>
      <c r="H507" s="186"/>
      <c r="I507" s="186"/>
      <c r="J507" s="186"/>
      <c r="K507" s="185"/>
      <c r="L507" s="185"/>
      <c r="M507" s="186"/>
      <c r="N507" s="185"/>
      <c r="O507" s="185"/>
      <c r="P507" s="185"/>
      <c r="Q507" s="185"/>
      <c r="R507" s="185"/>
      <c r="S507" s="185"/>
    </row>
    <row r="508" spans="1:19">
      <c r="A508" s="185"/>
      <c r="B508" s="661"/>
      <c r="C508" s="185"/>
      <c r="D508" s="185"/>
      <c r="E508" s="185"/>
      <c r="F508" s="185"/>
      <c r="G508" s="185"/>
      <c r="H508" s="186"/>
      <c r="I508" s="186"/>
      <c r="J508" s="186"/>
      <c r="K508" s="185"/>
      <c r="L508" s="185"/>
      <c r="M508" s="186"/>
      <c r="N508" s="185"/>
      <c r="O508" s="185"/>
      <c r="P508" s="185"/>
      <c r="Q508" s="185"/>
      <c r="R508" s="185"/>
      <c r="S508" s="185"/>
    </row>
    <row r="509" spans="1:19">
      <c r="A509" s="185"/>
      <c r="B509" s="661"/>
      <c r="C509" s="185"/>
      <c r="D509" s="185"/>
      <c r="E509" s="185"/>
      <c r="F509" s="185"/>
      <c r="G509" s="185"/>
      <c r="H509" s="186"/>
      <c r="I509" s="186"/>
      <c r="J509" s="186"/>
      <c r="K509" s="185"/>
      <c r="L509" s="185"/>
      <c r="M509" s="186"/>
      <c r="N509" s="185"/>
      <c r="O509" s="185"/>
      <c r="P509" s="185"/>
      <c r="Q509" s="185"/>
      <c r="R509" s="185"/>
      <c r="S509" s="185"/>
    </row>
    <row r="510" spans="1:19">
      <c r="A510" s="185"/>
      <c r="B510" s="661"/>
      <c r="C510" s="185"/>
      <c r="D510" s="185"/>
      <c r="E510" s="185"/>
      <c r="F510" s="185"/>
      <c r="G510" s="185"/>
      <c r="H510" s="186"/>
      <c r="I510" s="186"/>
      <c r="J510" s="186"/>
      <c r="K510" s="185"/>
      <c r="L510" s="185"/>
      <c r="M510" s="186"/>
      <c r="N510" s="185"/>
      <c r="O510" s="185"/>
      <c r="P510" s="185"/>
      <c r="Q510" s="185"/>
      <c r="R510" s="185"/>
      <c r="S510" s="185"/>
    </row>
    <row r="511" spans="1:19">
      <c r="A511" s="185"/>
      <c r="B511" s="661"/>
      <c r="C511" s="185"/>
      <c r="D511" s="185"/>
      <c r="E511" s="185"/>
      <c r="F511" s="185"/>
      <c r="G511" s="185"/>
      <c r="H511" s="186"/>
      <c r="I511" s="186"/>
      <c r="J511" s="186"/>
      <c r="K511" s="185"/>
      <c r="L511" s="185"/>
      <c r="M511" s="186"/>
      <c r="N511" s="185"/>
      <c r="O511" s="185"/>
      <c r="P511" s="185"/>
      <c r="Q511" s="185"/>
      <c r="R511" s="185"/>
      <c r="S511" s="185"/>
    </row>
    <row r="512" spans="1:19">
      <c r="A512" s="185"/>
      <c r="B512" s="661"/>
      <c r="C512" s="185"/>
      <c r="D512" s="185"/>
      <c r="E512" s="185"/>
      <c r="F512" s="185"/>
      <c r="G512" s="185"/>
      <c r="H512" s="186"/>
      <c r="I512" s="186"/>
      <c r="J512" s="186"/>
      <c r="K512" s="185"/>
      <c r="L512" s="185"/>
      <c r="M512" s="186"/>
      <c r="N512" s="185"/>
      <c r="O512" s="185"/>
      <c r="P512" s="185"/>
      <c r="Q512" s="185"/>
      <c r="R512" s="185"/>
      <c r="S512" s="185"/>
    </row>
    <row r="513" spans="1:19">
      <c r="A513" s="185"/>
      <c r="B513" s="661"/>
      <c r="C513" s="185"/>
      <c r="D513" s="185"/>
      <c r="E513" s="185"/>
      <c r="F513" s="185"/>
      <c r="G513" s="185"/>
      <c r="H513" s="186"/>
      <c r="I513" s="186"/>
      <c r="J513" s="186"/>
      <c r="K513" s="185"/>
      <c r="L513" s="185"/>
      <c r="M513" s="186"/>
      <c r="N513" s="185"/>
      <c r="O513" s="185"/>
      <c r="P513" s="185"/>
      <c r="Q513" s="185"/>
      <c r="R513" s="185"/>
      <c r="S513" s="185"/>
    </row>
    <row r="514" spans="1:19">
      <c r="A514" s="185"/>
      <c r="B514" s="661"/>
      <c r="C514" s="185"/>
      <c r="D514" s="185"/>
      <c r="E514" s="185"/>
      <c r="F514" s="185"/>
      <c r="G514" s="185"/>
      <c r="H514" s="186"/>
      <c r="I514" s="186"/>
      <c r="J514" s="186"/>
      <c r="K514" s="185"/>
      <c r="L514" s="185"/>
      <c r="M514" s="186"/>
      <c r="N514" s="185"/>
      <c r="O514" s="185"/>
      <c r="P514" s="185"/>
      <c r="Q514" s="185"/>
      <c r="R514" s="185"/>
      <c r="S514" s="185"/>
    </row>
    <row r="515" spans="1:19">
      <c r="A515" s="185"/>
      <c r="B515" s="661"/>
      <c r="C515" s="185"/>
      <c r="D515" s="185"/>
      <c r="E515" s="185"/>
      <c r="F515" s="185"/>
      <c r="G515" s="185"/>
      <c r="H515" s="186"/>
      <c r="I515" s="186"/>
      <c r="J515" s="186"/>
      <c r="K515" s="185"/>
      <c r="L515" s="185"/>
      <c r="M515" s="186"/>
      <c r="N515" s="185"/>
      <c r="O515" s="185"/>
      <c r="P515" s="185"/>
      <c r="Q515" s="185"/>
      <c r="R515" s="185"/>
      <c r="S515" s="185"/>
    </row>
    <row r="516" spans="1:19">
      <c r="A516" s="185"/>
      <c r="B516" s="661"/>
      <c r="C516" s="185"/>
      <c r="D516" s="185"/>
      <c r="E516" s="185"/>
      <c r="F516" s="185"/>
      <c r="G516" s="185"/>
      <c r="H516" s="186"/>
      <c r="I516" s="186"/>
      <c r="J516" s="186"/>
      <c r="K516" s="185"/>
      <c r="L516" s="185"/>
      <c r="M516" s="186"/>
      <c r="N516" s="185"/>
      <c r="O516" s="185"/>
      <c r="P516" s="185"/>
      <c r="Q516" s="185"/>
      <c r="R516" s="185"/>
      <c r="S516" s="185"/>
    </row>
    <row r="517" spans="1:19">
      <c r="A517" s="185"/>
      <c r="B517" s="661"/>
      <c r="C517" s="185"/>
      <c r="D517" s="185"/>
      <c r="E517" s="185"/>
      <c r="F517" s="185"/>
      <c r="G517" s="185"/>
      <c r="H517" s="186"/>
      <c r="I517" s="186"/>
      <c r="J517" s="186"/>
      <c r="K517" s="185"/>
      <c r="L517" s="185"/>
      <c r="M517" s="186"/>
      <c r="N517" s="185"/>
      <c r="O517" s="185"/>
      <c r="P517" s="185"/>
      <c r="Q517" s="185"/>
      <c r="R517" s="185"/>
      <c r="S517" s="185"/>
    </row>
    <row r="518" spans="1:19">
      <c r="A518" s="185"/>
      <c r="B518" s="661"/>
      <c r="C518" s="185"/>
      <c r="D518" s="185"/>
      <c r="E518" s="185"/>
      <c r="F518" s="185"/>
      <c r="G518" s="185"/>
      <c r="H518" s="186"/>
      <c r="I518" s="186"/>
      <c r="J518" s="186"/>
      <c r="K518" s="185"/>
      <c r="L518" s="185"/>
      <c r="M518" s="186"/>
      <c r="N518" s="185"/>
      <c r="O518" s="185"/>
      <c r="P518" s="185"/>
      <c r="Q518" s="185"/>
      <c r="R518" s="185"/>
      <c r="S518" s="185"/>
    </row>
    <row r="519" spans="1:19">
      <c r="A519" s="185"/>
      <c r="B519" s="661"/>
      <c r="C519" s="185"/>
      <c r="D519" s="185"/>
      <c r="E519" s="185"/>
      <c r="F519" s="185"/>
      <c r="G519" s="185"/>
      <c r="H519" s="186"/>
      <c r="I519" s="186"/>
      <c r="J519" s="186"/>
      <c r="K519" s="185"/>
      <c r="L519" s="185"/>
      <c r="M519" s="186"/>
      <c r="N519" s="185"/>
      <c r="O519" s="185"/>
      <c r="P519" s="185"/>
      <c r="Q519" s="185"/>
      <c r="R519" s="185"/>
      <c r="S519" s="185"/>
    </row>
    <row r="520" spans="1:19">
      <c r="A520" s="185"/>
      <c r="B520" s="661"/>
      <c r="C520" s="185"/>
      <c r="D520" s="185"/>
      <c r="E520" s="185"/>
      <c r="F520" s="185"/>
      <c r="G520" s="185"/>
      <c r="H520" s="186"/>
      <c r="I520" s="186"/>
      <c r="J520" s="186"/>
      <c r="K520" s="185"/>
      <c r="L520" s="185"/>
      <c r="M520" s="186"/>
      <c r="N520" s="185"/>
      <c r="O520" s="185"/>
      <c r="P520" s="185"/>
      <c r="Q520" s="185"/>
      <c r="R520" s="185"/>
      <c r="S520" s="185"/>
    </row>
    <row r="521" spans="1:19">
      <c r="A521" s="185"/>
      <c r="B521" s="661"/>
      <c r="C521" s="185"/>
      <c r="D521" s="185"/>
      <c r="E521" s="185"/>
      <c r="F521" s="185"/>
      <c r="G521" s="185"/>
      <c r="H521" s="186"/>
      <c r="I521" s="186"/>
      <c r="J521" s="186"/>
      <c r="K521" s="185"/>
      <c r="L521" s="185"/>
      <c r="M521" s="186"/>
      <c r="N521" s="185"/>
      <c r="O521" s="185"/>
      <c r="P521" s="185"/>
      <c r="Q521" s="185"/>
      <c r="R521" s="185"/>
      <c r="S521" s="185"/>
    </row>
    <row r="522" spans="1:19">
      <c r="A522" s="185"/>
      <c r="B522" s="661"/>
      <c r="C522" s="185"/>
      <c r="D522" s="185"/>
      <c r="E522" s="185"/>
      <c r="F522" s="185"/>
      <c r="G522" s="185"/>
      <c r="H522" s="186"/>
      <c r="I522" s="186"/>
      <c r="J522" s="186"/>
      <c r="K522" s="185"/>
      <c r="L522" s="185"/>
      <c r="M522" s="186"/>
      <c r="N522" s="185"/>
      <c r="O522" s="185"/>
      <c r="P522" s="185"/>
      <c r="Q522" s="185"/>
      <c r="R522" s="185"/>
      <c r="S522" s="185"/>
    </row>
    <row r="523" spans="1:19">
      <c r="A523" s="185"/>
      <c r="B523" s="661"/>
      <c r="C523" s="185"/>
      <c r="D523" s="185"/>
      <c r="E523" s="185"/>
      <c r="F523" s="185"/>
      <c r="G523" s="185"/>
      <c r="H523" s="186"/>
      <c r="I523" s="186"/>
      <c r="J523" s="186"/>
      <c r="K523" s="185"/>
      <c r="L523" s="185"/>
      <c r="M523" s="186"/>
      <c r="N523" s="185"/>
      <c r="O523" s="185"/>
      <c r="P523" s="185"/>
      <c r="Q523" s="185"/>
      <c r="R523" s="185"/>
      <c r="S523" s="185"/>
    </row>
    <row r="524" spans="1:19">
      <c r="A524" s="185"/>
      <c r="B524" s="661"/>
      <c r="C524" s="185"/>
      <c r="D524" s="185"/>
      <c r="E524" s="185"/>
      <c r="F524" s="185"/>
      <c r="G524" s="185"/>
      <c r="H524" s="186"/>
      <c r="I524" s="186"/>
      <c r="J524" s="186"/>
      <c r="K524" s="185"/>
      <c r="L524" s="185"/>
      <c r="M524" s="186"/>
      <c r="N524" s="185"/>
      <c r="O524" s="185"/>
      <c r="P524" s="185"/>
      <c r="Q524" s="185"/>
      <c r="R524" s="185"/>
      <c r="S524" s="185"/>
    </row>
    <row r="525" spans="1:19">
      <c r="A525" s="185"/>
      <c r="B525" s="661"/>
      <c r="C525" s="185"/>
      <c r="D525" s="185"/>
      <c r="E525" s="185"/>
      <c r="F525" s="185"/>
      <c r="G525" s="185"/>
      <c r="H525" s="186"/>
      <c r="I525" s="186"/>
      <c r="J525" s="186"/>
      <c r="K525" s="185"/>
      <c r="L525" s="185"/>
      <c r="M525" s="186"/>
      <c r="N525" s="185"/>
      <c r="O525" s="185"/>
      <c r="P525" s="185"/>
      <c r="Q525" s="185"/>
      <c r="R525" s="185"/>
      <c r="S525" s="185"/>
    </row>
    <row r="526" spans="1:19">
      <c r="A526" s="185"/>
      <c r="B526" s="661"/>
      <c r="C526" s="185"/>
      <c r="D526" s="185"/>
      <c r="E526" s="185"/>
      <c r="F526" s="185"/>
      <c r="G526" s="185"/>
      <c r="H526" s="186"/>
      <c r="I526" s="186"/>
      <c r="J526" s="186"/>
      <c r="K526" s="185"/>
      <c r="L526" s="185"/>
      <c r="M526" s="186"/>
      <c r="N526" s="185"/>
      <c r="O526" s="185"/>
      <c r="P526" s="185"/>
      <c r="Q526" s="185"/>
      <c r="R526" s="185"/>
      <c r="S526" s="185"/>
    </row>
    <row r="527" spans="1:19">
      <c r="A527" s="185"/>
      <c r="B527" s="661"/>
      <c r="C527" s="185"/>
      <c r="D527" s="185"/>
      <c r="E527" s="185"/>
      <c r="F527" s="185"/>
      <c r="G527" s="185"/>
      <c r="H527" s="186"/>
      <c r="I527" s="186"/>
      <c r="J527" s="186"/>
      <c r="K527" s="185"/>
      <c r="L527" s="185"/>
      <c r="M527" s="186"/>
      <c r="N527" s="185"/>
      <c r="O527" s="185"/>
      <c r="P527" s="185"/>
      <c r="Q527" s="185"/>
      <c r="R527" s="185"/>
      <c r="S527" s="185"/>
    </row>
    <row r="528" spans="1:19">
      <c r="A528" s="185"/>
      <c r="B528" s="661"/>
      <c r="C528" s="185"/>
      <c r="D528" s="185"/>
      <c r="E528" s="185"/>
      <c r="F528" s="185"/>
      <c r="G528" s="185"/>
      <c r="H528" s="186"/>
      <c r="I528" s="186"/>
      <c r="J528" s="186"/>
      <c r="K528" s="185"/>
      <c r="L528" s="185"/>
      <c r="M528" s="186"/>
      <c r="N528" s="185"/>
      <c r="O528" s="185"/>
      <c r="P528" s="185"/>
      <c r="Q528" s="185"/>
      <c r="R528" s="185"/>
      <c r="S528" s="185"/>
    </row>
    <row r="529" spans="1:19">
      <c r="A529" s="185"/>
      <c r="B529" s="661"/>
      <c r="C529" s="185"/>
      <c r="D529" s="185"/>
      <c r="E529" s="185"/>
      <c r="F529" s="185"/>
      <c r="G529" s="185"/>
      <c r="H529" s="186"/>
      <c r="I529" s="186"/>
      <c r="J529" s="186"/>
      <c r="K529" s="185"/>
      <c r="L529" s="185"/>
      <c r="M529" s="186"/>
      <c r="N529" s="185"/>
      <c r="O529" s="185"/>
      <c r="P529" s="185"/>
      <c r="Q529" s="185"/>
      <c r="R529" s="185"/>
      <c r="S529" s="185"/>
    </row>
    <row r="530" spans="1:19">
      <c r="A530" s="185"/>
      <c r="B530" s="661"/>
      <c r="C530" s="185"/>
      <c r="D530" s="185"/>
      <c r="E530" s="185"/>
      <c r="F530" s="185"/>
      <c r="G530" s="185"/>
      <c r="H530" s="186"/>
      <c r="I530" s="186"/>
      <c r="J530" s="186"/>
      <c r="K530" s="185"/>
      <c r="L530" s="185"/>
      <c r="M530" s="186"/>
      <c r="N530" s="185"/>
      <c r="O530" s="185"/>
      <c r="P530" s="185"/>
      <c r="Q530" s="185"/>
      <c r="R530" s="185"/>
      <c r="S530" s="185"/>
    </row>
    <row r="531" spans="1:19">
      <c r="A531" s="185"/>
      <c r="B531" s="661"/>
      <c r="C531" s="185"/>
      <c r="D531" s="185"/>
      <c r="E531" s="185"/>
      <c r="F531" s="185"/>
      <c r="G531" s="185"/>
      <c r="H531" s="186"/>
      <c r="I531" s="186"/>
      <c r="J531" s="186"/>
      <c r="K531" s="185"/>
      <c r="L531" s="185"/>
      <c r="M531" s="186"/>
      <c r="N531" s="185"/>
      <c r="O531" s="185"/>
      <c r="P531" s="185"/>
      <c r="Q531" s="185"/>
      <c r="R531" s="185"/>
      <c r="S531" s="185"/>
    </row>
    <row r="532" spans="1:19">
      <c r="A532" s="185"/>
      <c r="B532" s="661"/>
      <c r="C532" s="185"/>
      <c r="D532" s="185"/>
      <c r="E532" s="185"/>
      <c r="F532" s="185"/>
      <c r="G532" s="185"/>
      <c r="H532" s="186"/>
      <c r="I532" s="186"/>
      <c r="J532" s="186"/>
      <c r="K532" s="185"/>
      <c r="L532" s="185"/>
      <c r="M532" s="186"/>
      <c r="N532" s="185"/>
      <c r="O532" s="185"/>
      <c r="P532" s="185"/>
      <c r="Q532" s="185"/>
      <c r="R532" s="185"/>
      <c r="S532" s="185"/>
    </row>
    <row r="533" spans="1:19">
      <c r="A533" s="185"/>
      <c r="B533" s="661"/>
      <c r="C533" s="185"/>
      <c r="D533" s="185"/>
      <c r="E533" s="185"/>
      <c r="F533" s="185"/>
      <c r="G533" s="185"/>
      <c r="H533" s="186"/>
      <c r="I533" s="186"/>
      <c r="J533" s="186"/>
      <c r="K533" s="185"/>
      <c r="L533" s="185"/>
      <c r="M533" s="186"/>
      <c r="N533" s="185"/>
      <c r="O533" s="185"/>
      <c r="P533" s="185"/>
      <c r="Q533" s="185"/>
      <c r="R533" s="185"/>
      <c r="S533" s="185"/>
    </row>
    <row r="534" spans="1:19">
      <c r="A534" s="185"/>
      <c r="B534" s="661"/>
      <c r="C534" s="185"/>
      <c r="D534" s="185"/>
      <c r="E534" s="185"/>
      <c r="F534" s="185"/>
      <c r="G534" s="185"/>
      <c r="H534" s="186"/>
      <c r="I534" s="186"/>
      <c r="J534" s="186"/>
      <c r="K534" s="185"/>
      <c r="L534" s="185"/>
      <c r="M534" s="186"/>
      <c r="N534" s="185"/>
      <c r="O534" s="185"/>
      <c r="P534" s="185"/>
      <c r="Q534" s="185"/>
      <c r="R534" s="185"/>
      <c r="S534" s="185"/>
    </row>
    <row r="535" spans="1:19">
      <c r="A535" s="185"/>
      <c r="B535" s="661"/>
      <c r="C535" s="185"/>
      <c r="D535" s="185"/>
      <c r="E535" s="185"/>
      <c r="F535" s="185"/>
      <c r="G535" s="185"/>
      <c r="H535" s="186"/>
      <c r="I535" s="186"/>
      <c r="J535" s="186"/>
      <c r="K535" s="185"/>
      <c r="L535" s="185"/>
      <c r="M535" s="186"/>
      <c r="N535" s="185"/>
      <c r="O535" s="185"/>
      <c r="P535" s="185"/>
      <c r="Q535" s="185"/>
      <c r="R535" s="185"/>
      <c r="S535" s="185"/>
    </row>
    <row r="536" spans="1:19">
      <c r="A536" s="185"/>
      <c r="B536" s="661"/>
      <c r="C536" s="185"/>
      <c r="D536" s="185"/>
      <c r="E536" s="185"/>
      <c r="F536" s="185"/>
      <c r="G536" s="185"/>
      <c r="H536" s="186"/>
      <c r="I536" s="186"/>
      <c r="J536" s="186"/>
      <c r="K536" s="185"/>
      <c r="L536" s="185"/>
      <c r="M536" s="186"/>
      <c r="N536" s="185"/>
      <c r="O536" s="185"/>
      <c r="P536" s="185"/>
      <c r="Q536" s="185"/>
      <c r="R536" s="185"/>
      <c r="S536" s="185"/>
    </row>
    <row r="537" spans="1:19">
      <c r="A537" s="185"/>
      <c r="B537" s="661"/>
      <c r="C537" s="185"/>
      <c r="D537" s="185"/>
      <c r="E537" s="185"/>
      <c r="F537" s="185"/>
      <c r="G537" s="185"/>
      <c r="H537" s="186"/>
      <c r="I537" s="186"/>
      <c r="J537" s="186"/>
      <c r="K537" s="185"/>
      <c r="L537" s="185"/>
      <c r="M537" s="186"/>
      <c r="N537" s="185"/>
      <c r="O537" s="185"/>
      <c r="P537" s="185"/>
      <c r="Q537" s="185"/>
      <c r="R537" s="185"/>
      <c r="S537" s="185"/>
    </row>
    <row r="538" spans="1:19">
      <c r="A538" s="185"/>
      <c r="B538" s="661"/>
      <c r="C538" s="185"/>
      <c r="D538" s="185"/>
      <c r="E538" s="185"/>
      <c r="F538" s="185"/>
      <c r="G538" s="185"/>
      <c r="H538" s="186"/>
      <c r="I538" s="186"/>
      <c r="J538" s="186"/>
      <c r="K538" s="185"/>
      <c r="L538" s="185"/>
      <c r="M538" s="186"/>
      <c r="N538" s="185"/>
      <c r="O538" s="185"/>
      <c r="P538" s="185"/>
      <c r="Q538" s="185"/>
      <c r="R538" s="185"/>
      <c r="S538" s="185"/>
    </row>
    <row r="539" spans="1:19">
      <c r="A539" s="185"/>
      <c r="B539" s="661"/>
      <c r="C539" s="185"/>
      <c r="D539" s="185"/>
      <c r="E539" s="185"/>
      <c r="F539" s="185"/>
      <c r="G539" s="185"/>
      <c r="H539" s="186"/>
      <c r="I539" s="186"/>
      <c r="J539" s="186"/>
      <c r="K539" s="185"/>
      <c r="L539" s="185"/>
      <c r="M539" s="186"/>
      <c r="N539" s="185"/>
      <c r="O539" s="185"/>
      <c r="P539" s="185"/>
      <c r="Q539" s="185"/>
      <c r="R539" s="185"/>
      <c r="S539" s="185"/>
    </row>
    <row r="540" spans="1:19">
      <c r="A540" s="185"/>
      <c r="B540" s="661"/>
      <c r="C540" s="185"/>
      <c r="D540" s="185"/>
      <c r="E540" s="185"/>
      <c r="F540" s="185"/>
      <c r="G540" s="185"/>
      <c r="H540" s="186"/>
      <c r="I540" s="186"/>
      <c r="J540" s="186"/>
      <c r="K540" s="185"/>
      <c r="L540" s="185"/>
      <c r="M540" s="186"/>
      <c r="N540" s="185"/>
      <c r="O540" s="185"/>
      <c r="P540" s="185"/>
      <c r="Q540" s="185"/>
      <c r="R540" s="185"/>
      <c r="S540" s="185"/>
    </row>
    <row r="541" spans="1:19">
      <c r="A541" s="185"/>
      <c r="B541" s="661"/>
      <c r="C541" s="185"/>
      <c r="D541" s="185"/>
      <c r="E541" s="185"/>
      <c r="F541" s="185"/>
      <c r="G541" s="185"/>
      <c r="H541" s="186"/>
      <c r="I541" s="186"/>
      <c r="J541" s="186"/>
      <c r="K541" s="185"/>
      <c r="L541" s="185"/>
      <c r="M541" s="186"/>
      <c r="N541" s="185"/>
      <c r="O541" s="185"/>
      <c r="P541" s="185"/>
      <c r="Q541" s="185"/>
      <c r="R541" s="185"/>
      <c r="S541" s="185"/>
    </row>
    <row r="542" spans="1:19">
      <c r="A542" s="185"/>
      <c r="B542" s="661"/>
      <c r="C542" s="185"/>
      <c r="D542" s="185"/>
      <c r="E542" s="185"/>
      <c r="F542" s="185"/>
      <c r="G542" s="185"/>
      <c r="H542" s="186"/>
      <c r="I542" s="186"/>
      <c r="J542" s="186"/>
      <c r="K542" s="185"/>
      <c r="L542" s="185"/>
      <c r="M542" s="186"/>
      <c r="N542" s="185"/>
      <c r="O542" s="185"/>
      <c r="P542" s="185"/>
      <c r="Q542" s="185"/>
      <c r="R542" s="185"/>
      <c r="S542" s="185"/>
    </row>
    <row r="543" spans="1:19">
      <c r="A543" s="185"/>
      <c r="B543" s="661"/>
      <c r="C543" s="185"/>
      <c r="D543" s="185"/>
      <c r="E543" s="185"/>
      <c r="F543" s="185"/>
      <c r="G543" s="185"/>
      <c r="H543" s="186"/>
      <c r="I543" s="186"/>
      <c r="J543" s="186"/>
      <c r="K543" s="185"/>
      <c r="L543" s="185"/>
      <c r="M543" s="186"/>
      <c r="N543" s="185"/>
      <c r="O543" s="185"/>
      <c r="P543" s="185"/>
      <c r="Q543" s="185"/>
      <c r="R543" s="185"/>
      <c r="S543" s="185"/>
    </row>
    <row r="544" spans="1:19">
      <c r="A544" s="185"/>
      <c r="B544" s="661"/>
      <c r="C544" s="185"/>
      <c r="D544" s="185"/>
      <c r="E544" s="185"/>
      <c r="F544" s="185"/>
      <c r="G544" s="185"/>
      <c r="H544" s="186"/>
      <c r="I544" s="186"/>
      <c r="J544" s="186"/>
      <c r="K544" s="185"/>
      <c r="L544" s="185"/>
      <c r="M544" s="186"/>
      <c r="N544" s="185"/>
      <c r="O544" s="185"/>
      <c r="P544" s="185"/>
      <c r="Q544" s="185"/>
      <c r="R544" s="185"/>
      <c r="S544" s="185"/>
    </row>
    <row r="545" spans="1:19">
      <c r="A545" s="185"/>
      <c r="B545" s="661"/>
      <c r="C545" s="185"/>
      <c r="D545" s="185"/>
      <c r="E545" s="185"/>
      <c r="F545" s="185"/>
      <c r="G545" s="185"/>
      <c r="H545" s="186"/>
      <c r="I545" s="186"/>
      <c r="J545" s="186"/>
      <c r="K545" s="185"/>
      <c r="L545" s="185"/>
      <c r="M545" s="186"/>
      <c r="N545" s="185"/>
      <c r="O545" s="185"/>
      <c r="P545" s="185"/>
      <c r="Q545" s="185"/>
      <c r="R545" s="185"/>
      <c r="S545" s="185"/>
    </row>
    <row r="546" spans="1:19">
      <c r="A546" s="185"/>
      <c r="B546" s="661"/>
      <c r="C546" s="185"/>
      <c r="D546" s="185"/>
      <c r="E546" s="185"/>
      <c r="F546" s="185"/>
      <c r="G546" s="185"/>
      <c r="H546" s="186"/>
      <c r="I546" s="186"/>
      <c r="J546" s="186"/>
      <c r="K546" s="185"/>
      <c r="L546" s="185"/>
      <c r="M546" s="186"/>
      <c r="N546" s="185"/>
      <c r="O546" s="185"/>
      <c r="P546" s="185"/>
      <c r="Q546" s="185"/>
      <c r="R546" s="185"/>
      <c r="S546" s="185"/>
    </row>
    <row r="547" spans="1:19">
      <c r="A547" s="185"/>
      <c r="B547" s="661"/>
      <c r="C547" s="185"/>
      <c r="D547" s="185"/>
      <c r="E547" s="185"/>
      <c r="F547" s="185"/>
      <c r="G547" s="185"/>
      <c r="H547" s="186"/>
      <c r="I547" s="186"/>
      <c r="J547" s="186"/>
      <c r="K547" s="185"/>
      <c r="L547" s="185"/>
      <c r="M547" s="186"/>
      <c r="N547" s="185"/>
      <c r="O547" s="185"/>
      <c r="P547" s="185"/>
      <c r="Q547" s="185"/>
      <c r="R547" s="185"/>
      <c r="S547" s="185"/>
    </row>
    <row r="548" spans="1:19">
      <c r="A548" s="185"/>
      <c r="B548" s="661"/>
      <c r="C548" s="185"/>
      <c r="D548" s="185"/>
      <c r="E548" s="185"/>
      <c r="F548" s="185"/>
      <c r="G548" s="185"/>
      <c r="H548" s="186"/>
      <c r="I548" s="186"/>
      <c r="J548" s="186"/>
      <c r="K548" s="185"/>
      <c r="L548" s="185"/>
      <c r="M548" s="186"/>
      <c r="N548" s="185"/>
      <c r="O548" s="185"/>
      <c r="P548" s="185"/>
      <c r="Q548" s="185"/>
      <c r="R548" s="185"/>
      <c r="S548" s="185"/>
    </row>
    <row r="549" spans="1:19">
      <c r="A549" s="185"/>
      <c r="B549" s="661"/>
      <c r="C549" s="185"/>
      <c r="D549" s="185"/>
      <c r="E549" s="185"/>
      <c r="F549" s="185"/>
      <c r="G549" s="185"/>
      <c r="H549" s="186"/>
      <c r="I549" s="186"/>
      <c r="J549" s="186"/>
      <c r="K549" s="185"/>
      <c r="L549" s="185"/>
      <c r="M549" s="186"/>
      <c r="N549" s="185"/>
      <c r="O549" s="185"/>
      <c r="P549" s="185"/>
      <c r="Q549" s="185"/>
      <c r="R549" s="185"/>
      <c r="S549" s="185"/>
    </row>
    <row r="550" spans="1:19">
      <c r="A550" s="185"/>
      <c r="B550" s="661"/>
      <c r="C550" s="185"/>
      <c r="D550" s="185"/>
      <c r="E550" s="185"/>
      <c r="F550" s="185"/>
      <c r="G550" s="185"/>
      <c r="H550" s="186"/>
      <c r="I550" s="186"/>
      <c r="J550" s="186"/>
      <c r="K550" s="185"/>
      <c r="L550" s="185"/>
      <c r="M550" s="186"/>
      <c r="N550" s="185"/>
      <c r="O550" s="185"/>
      <c r="P550" s="185"/>
      <c r="Q550" s="185"/>
      <c r="R550" s="185"/>
      <c r="S550" s="185"/>
    </row>
    <row r="551" spans="1:19">
      <c r="A551" s="185"/>
      <c r="B551" s="661"/>
      <c r="C551" s="185"/>
      <c r="D551" s="185"/>
      <c r="E551" s="185"/>
      <c r="F551" s="185"/>
      <c r="G551" s="185"/>
      <c r="H551" s="186"/>
      <c r="I551" s="186"/>
      <c r="J551" s="186"/>
      <c r="K551" s="185"/>
      <c r="L551" s="185"/>
      <c r="M551" s="186"/>
      <c r="N551" s="185"/>
      <c r="O551" s="185"/>
      <c r="P551" s="185"/>
      <c r="Q551" s="185"/>
      <c r="R551" s="185"/>
      <c r="S551" s="185"/>
    </row>
    <row r="552" spans="1:19">
      <c r="A552" s="185"/>
      <c r="B552" s="661"/>
      <c r="C552" s="185"/>
      <c r="D552" s="185"/>
      <c r="E552" s="185"/>
      <c r="F552" s="185"/>
      <c r="G552" s="185"/>
      <c r="H552" s="186"/>
      <c r="I552" s="186"/>
      <c r="J552" s="186"/>
      <c r="K552" s="185"/>
      <c r="L552" s="185"/>
      <c r="M552" s="186"/>
      <c r="N552" s="185"/>
      <c r="O552" s="185"/>
      <c r="P552" s="185"/>
      <c r="Q552" s="185"/>
      <c r="R552" s="185"/>
      <c r="S552" s="185"/>
    </row>
    <row r="553" spans="1:19">
      <c r="A553" s="185"/>
      <c r="B553" s="661"/>
      <c r="C553" s="185"/>
      <c r="D553" s="185"/>
      <c r="E553" s="185"/>
      <c r="F553" s="185"/>
      <c r="G553" s="185"/>
      <c r="H553" s="186"/>
      <c r="I553" s="186"/>
      <c r="J553" s="186"/>
      <c r="K553" s="185"/>
      <c r="L553" s="185"/>
      <c r="M553" s="186"/>
      <c r="N553" s="185"/>
      <c r="O553" s="185"/>
      <c r="P553" s="185"/>
      <c r="Q553" s="185"/>
      <c r="R553" s="185"/>
      <c r="S553" s="185"/>
    </row>
    <row r="554" spans="1:19">
      <c r="A554" s="185"/>
      <c r="B554" s="661"/>
      <c r="C554" s="185"/>
      <c r="D554" s="185"/>
      <c r="E554" s="185"/>
      <c r="F554" s="185"/>
      <c r="G554" s="185"/>
      <c r="H554" s="186"/>
      <c r="I554" s="186"/>
      <c r="J554" s="186"/>
      <c r="K554" s="185"/>
      <c r="L554" s="185"/>
      <c r="M554" s="186"/>
      <c r="N554" s="185"/>
      <c r="O554" s="185"/>
      <c r="P554" s="185"/>
      <c r="Q554" s="185"/>
      <c r="R554" s="185"/>
      <c r="S554" s="185"/>
    </row>
    <row r="555" spans="1:19">
      <c r="A555" s="185"/>
      <c r="B555" s="661"/>
      <c r="C555" s="185"/>
      <c r="D555" s="185"/>
      <c r="E555" s="185"/>
      <c r="F555" s="185"/>
      <c r="G555" s="185"/>
      <c r="H555" s="186"/>
      <c r="I555" s="186"/>
      <c r="J555" s="186"/>
      <c r="K555" s="185"/>
      <c r="L555" s="185"/>
      <c r="M555" s="186"/>
      <c r="N555" s="185"/>
      <c r="O555" s="185"/>
      <c r="P555" s="185"/>
      <c r="Q555" s="185"/>
      <c r="R555" s="185"/>
      <c r="S555" s="185"/>
    </row>
    <row r="556" spans="1:19">
      <c r="A556" s="185"/>
      <c r="B556" s="661"/>
      <c r="C556" s="185"/>
      <c r="D556" s="185"/>
      <c r="E556" s="185"/>
      <c r="F556" s="185"/>
      <c r="G556" s="185"/>
      <c r="H556" s="186"/>
      <c r="I556" s="186"/>
      <c r="J556" s="186"/>
      <c r="K556" s="185"/>
      <c r="L556" s="185"/>
      <c r="M556" s="186"/>
      <c r="N556" s="185"/>
      <c r="O556" s="185"/>
      <c r="P556" s="185"/>
      <c r="Q556" s="185"/>
      <c r="R556" s="185"/>
      <c r="S556" s="185"/>
    </row>
    <row r="557" spans="1:19">
      <c r="A557" s="185"/>
      <c r="B557" s="661"/>
      <c r="C557" s="185"/>
      <c r="D557" s="185"/>
      <c r="E557" s="185"/>
      <c r="F557" s="185"/>
      <c r="G557" s="185"/>
      <c r="H557" s="186"/>
      <c r="I557" s="186"/>
      <c r="J557" s="186"/>
      <c r="K557" s="185"/>
      <c r="L557" s="185"/>
      <c r="M557" s="186"/>
      <c r="N557" s="185"/>
      <c r="O557" s="185"/>
      <c r="P557" s="185"/>
      <c r="Q557" s="185"/>
      <c r="R557" s="185"/>
      <c r="S557" s="185"/>
    </row>
    <row r="558" spans="1:19">
      <c r="A558" s="185"/>
      <c r="B558" s="661"/>
      <c r="C558" s="185"/>
      <c r="D558" s="185"/>
      <c r="E558" s="185"/>
      <c r="F558" s="185"/>
      <c r="G558" s="185"/>
      <c r="H558" s="186"/>
      <c r="I558" s="186"/>
      <c r="J558" s="186"/>
      <c r="K558" s="185"/>
      <c r="L558" s="185"/>
      <c r="M558" s="186"/>
      <c r="N558" s="185"/>
      <c r="O558" s="185"/>
      <c r="P558" s="185"/>
      <c r="Q558" s="185"/>
      <c r="R558" s="185"/>
      <c r="S558" s="185"/>
    </row>
    <row r="559" spans="1:19">
      <c r="A559" s="185"/>
      <c r="B559" s="661"/>
      <c r="C559" s="185"/>
      <c r="D559" s="185"/>
      <c r="E559" s="185"/>
      <c r="F559" s="185"/>
      <c r="G559" s="185"/>
      <c r="H559" s="186"/>
      <c r="I559" s="186"/>
      <c r="J559" s="186"/>
      <c r="K559" s="185"/>
      <c r="L559" s="185"/>
      <c r="M559" s="186"/>
      <c r="N559" s="185"/>
      <c r="O559" s="185"/>
      <c r="P559" s="185"/>
      <c r="Q559" s="185"/>
      <c r="R559" s="185"/>
      <c r="S559" s="185"/>
    </row>
    <row r="560" spans="1:19">
      <c r="A560" s="185"/>
      <c r="B560" s="661"/>
      <c r="C560" s="185"/>
      <c r="D560" s="185"/>
      <c r="E560" s="185"/>
      <c r="F560" s="185"/>
      <c r="G560" s="185"/>
      <c r="H560" s="186"/>
      <c r="I560" s="186"/>
      <c r="J560" s="186"/>
      <c r="K560" s="185"/>
      <c r="L560" s="185"/>
      <c r="M560" s="186"/>
      <c r="N560" s="185"/>
      <c r="O560" s="185"/>
      <c r="P560" s="185"/>
      <c r="Q560" s="185"/>
      <c r="R560" s="185"/>
      <c r="S560" s="185"/>
    </row>
    <row r="561" spans="1:19">
      <c r="A561" s="185"/>
      <c r="B561" s="661"/>
      <c r="C561" s="185"/>
      <c r="D561" s="185"/>
      <c r="E561" s="185"/>
      <c r="F561" s="185"/>
      <c r="G561" s="185"/>
      <c r="H561" s="186"/>
      <c r="I561" s="186"/>
      <c r="J561" s="186"/>
      <c r="K561" s="185"/>
      <c r="L561" s="185"/>
      <c r="M561" s="186"/>
      <c r="N561" s="185"/>
      <c r="O561" s="185"/>
      <c r="P561" s="185"/>
      <c r="Q561" s="185"/>
      <c r="R561" s="185"/>
      <c r="S561" s="185"/>
    </row>
    <row r="562" spans="1:19">
      <c r="A562" s="185"/>
      <c r="B562" s="661"/>
      <c r="C562" s="185"/>
      <c r="D562" s="185"/>
      <c r="E562" s="185"/>
      <c r="F562" s="185"/>
      <c r="G562" s="185"/>
      <c r="H562" s="186"/>
      <c r="I562" s="186"/>
      <c r="J562" s="186"/>
      <c r="K562" s="185"/>
      <c r="L562" s="185"/>
      <c r="M562" s="186"/>
      <c r="N562" s="185"/>
      <c r="O562" s="185"/>
      <c r="P562" s="185"/>
      <c r="Q562" s="185"/>
      <c r="R562" s="185"/>
      <c r="S562" s="185"/>
    </row>
    <row r="563" spans="1:19">
      <c r="A563" s="185"/>
      <c r="B563" s="661"/>
      <c r="C563" s="185"/>
      <c r="D563" s="185"/>
      <c r="E563" s="185"/>
      <c r="F563" s="185"/>
      <c r="G563" s="185"/>
      <c r="H563" s="186"/>
      <c r="I563" s="186"/>
      <c r="J563" s="186"/>
      <c r="K563" s="185"/>
      <c r="L563" s="185"/>
      <c r="M563" s="186"/>
      <c r="N563" s="185"/>
      <c r="O563" s="185"/>
      <c r="P563" s="185"/>
      <c r="Q563" s="185"/>
      <c r="R563" s="185"/>
      <c r="S563" s="185"/>
    </row>
    <row r="564" spans="1:19">
      <c r="A564" s="185"/>
      <c r="B564" s="661"/>
      <c r="C564" s="185"/>
      <c r="D564" s="185"/>
      <c r="E564" s="185"/>
      <c r="F564" s="185"/>
      <c r="G564" s="185"/>
      <c r="H564" s="186"/>
      <c r="I564" s="186"/>
      <c r="J564" s="186"/>
      <c r="K564" s="185"/>
      <c r="L564" s="185"/>
      <c r="M564" s="186"/>
      <c r="N564" s="185"/>
      <c r="O564" s="185"/>
      <c r="P564" s="185"/>
      <c r="Q564" s="185"/>
      <c r="R564" s="185"/>
      <c r="S564" s="185"/>
    </row>
    <row r="565" spans="1:19">
      <c r="A565" s="185"/>
      <c r="B565" s="661"/>
      <c r="C565" s="185"/>
      <c r="D565" s="185"/>
      <c r="E565" s="185"/>
      <c r="F565" s="185"/>
      <c r="G565" s="185"/>
      <c r="H565" s="186"/>
      <c r="I565" s="186"/>
      <c r="J565" s="186"/>
      <c r="K565" s="185"/>
      <c r="L565" s="185"/>
      <c r="M565" s="186"/>
      <c r="N565" s="185"/>
      <c r="O565" s="185"/>
      <c r="P565" s="185"/>
      <c r="Q565" s="185"/>
      <c r="R565" s="185"/>
      <c r="S565" s="185"/>
    </row>
    <row r="566" spans="1:19">
      <c r="A566" s="185"/>
      <c r="B566" s="661"/>
      <c r="C566" s="185"/>
      <c r="D566" s="185"/>
      <c r="E566" s="185"/>
      <c r="F566" s="185"/>
      <c r="G566" s="185"/>
      <c r="H566" s="186"/>
      <c r="I566" s="186"/>
      <c r="J566" s="186"/>
      <c r="K566" s="185"/>
      <c r="L566" s="185"/>
      <c r="M566" s="186"/>
      <c r="N566" s="185"/>
      <c r="O566" s="185"/>
      <c r="P566" s="185"/>
      <c r="Q566" s="185"/>
      <c r="R566" s="185"/>
      <c r="S566" s="185"/>
    </row>
    <row r="567" spans="1:19">
      <c r="A567" s="185"/>
      <c r="B567" s="661"/>
      <c r="C567" s="185"/>
      <c r="D567" s="185"/>
      <c r="E567" s="185"/>
      <c r="F567" s="185"/>
      <c r="G567" s="185"/>
      <c r="H567" s="186"/>
      <c r="I567" s="186"/>
      <c r="J567" s="186"/>
      <c r="K567" s="185"/>
      <c r="L567" s="185"/>
      <c r="M567" s="186"/>
      <c r="N567" s="185"/>
      <c r="O567" s="185"/>
      <c r="P567" s="185"/>
      <c r="Q567" s="185"/>
      <c r="R567" s="185"/>
      <c r="S567" s="185"/>
    </row>
    <row r="568" spans="1:19">
      <c r="A568" s="185"/>
      <c r="B568" s="661"/>
      <c r="C568" s="185"/>
      <c r="D568" s="185"/>
      <c r="E568" s="185"/>
      <c r="F568" s="185"/>
      <c r="G568" s="185"/>
      <c r="H568" s="186"/>
      <c r="I568" s="186"/>
      <c r="J568" s="186"/>
      <c r="K568" s="185"/>
      <c r="L568" s="185"/>
      <c r="M568" s="186"/>
      <c r="N568" s="185"/>
      <c r="O568" s="185"/>
      <c r="P568" s="185"/>
      <c r="Q568" s="185"/>
      <c r="R568" s="185"/>
      <c r="S568" s="185"/>
    </row>
    <row r="569" spans="1:19">
      <c r="A569" s="185"/>
      <c r="B569" s="661"/>
      <c r="C569" s="185"/>
      <c r="D569" s="185"/>
      <c r="E569" s="185"/>
      <c r="F569" s="185"/>
      <c r="G569" s="185"/>
      <c r="H569" s="186"/>
      <c r="I569" s="186"/>
      <c r="J569" s="186"/>
      <c r="K569" s="185"/>
      <c r="L569" s="185"/>
      <c r="M569" s="186"/>
      <c r="N569" s="185"/>
      <c r="O569" s="185"/>
      <c r="P569" s="185"/>
      <c r="Q569" s="185"/>
      <c r="R569" s="185"/>
      <c r="S569" s="185"/>
    </row>
    <row r="570" spans="1:19">
      <c r="A570" s="185"/>
      <c r="B570" s="661"/>
      <c r="C570" s="185"/>
      <c r="D570" s="185"/>
      <c r="E570" s="185"/>
      <c r="F570" s="185"/>
      <c r="G570" s="185"/>
      <c r="H570" s="186"/>
      <c r="I570" s="186"/>
      <c r="J570" s="186"/>
      <c r="K570" s="185"/>
      <c r="L570" s="185"/>
      <c r="M570" s="186"/>
      <c r="N570" s="185"/>
      <c r="O570" s="185"/>
      <c r="P570" s="185"/>
      <c r="Q570" s="185"/>
      <c r="R570" s="185"/>
      <c r="S570" s="185"/>
    </row>
    <row r="571" spans="1:19">
      <c r="A571" s="185"/>
      <c r="B571" s="661"/>
      <c r="C571" s="185"/>
      <c r="D571" s="185"/>
      <c r="E571" s="185"/>
      <c r="F571" s="185"/>
      <c r="G571" s="185"/>
      <c r="H571" s="186"/>
      <c r="I571" s="186"/>
      <c r="J571" s="186"/>
      <c r="K571" s="185"/>
      <c r="L571" s="185"/>
      <c r="M571" s="186"/>
      <c r="N571" s="185"/>
      <c r="O571" s="185"/>
      <c r="P571" s="185"/>
      <c r="Q571" s="185"/>
      <c r="R571" s="185"/>
      <c r="S571" s="185"/>
    </row>
    <row r="572" spans="1:19">
      <c r="A572" s="185"/>
      <c r="B572" s="661"/>
      <c r="C572" s="185"/>
      <c r="D572" s="185"/>
      <c r="E572" s="185"/>
      <c r="F572" s="185"/>
      <c r="G572" s="185"/>
      <c r="H572" s="186"/>
      <c r="I572" s="186"/>
      <c r="J572" s="186"/>
      <c r="K572" s="185"/>
      <c r="L572" s="185"/>
      <c r="M572" s="186"/>
      <c r="N572" s="185"/>
      <c r="O572" s="185"/>
      <c r="P572" s="185"/>
      <c r="Q572" s="185"/>
      <c r="R572" s="185"/>
      <c r="S572" s="185"/>
    </row>
    <row r="573" spans="1:19">
      <c r="A573" s="185"/>
      <c r="B573" s="661"/>
      <c r="C573" s="185"/>
      <c r="D573" s="185"/>
      <c r="E573" s="185"/>
      <c r="F573" s="185"/>
      <c r="G573" s="185"/>
      <c r="H573" s="186"/>
      <c r="I573" s="186"/>
      <c r="J573" s="186"/>
      <c r="K573" s="185"/>
      <c r="L573" s="185"/>
      <c r="M573" s="186"/>
      <c r="N573" s="185"/>
      <c r="O573" s="185"/>
      <c r="P573" s="185"/>
      <c r="Q573" s="185"/>
      <c r="R573" s="185"/>
      <c r="S573" s="185"/>
    </row>
    <row r="574" spans="1:19">
      <c r="A574" s="185"/>
      <c r="B574" s="661"/>
      <c r="C574" s="185"/>
      <c r="D574" s="185"/>
      <c r="E574" s="185"/>
      <c r="F574" s="185"/>
      <c r="G574" s="185"/>
      <c r="H574" s="186"/>
      <c r="I574" s="186"/>
      <c r="J574" s="186"/>
      <c r="K574" s="185"/>
      <c r="L574" s="185"/>
      <c r="M574" s="186"/>
      <c r="N574" s="185"/>
      <c r="O574" s="185"/>
      <c r="P574" s="185"/>
      <c r="Q574" s="185"/>
      <c r="R574" s="185"/>
      <c r="S574" s="185"/>
    </row>
    <row r="575" spans="1:19">
      <c r="A575" s="185"/>
      <c r="B575" s="661"/>
      <c r="C575" s="185"/>
      <c r="D575" s="185"/>
      <c r="E575" s="185"/>
      <c r="F575" s="185"/>
      <c r="G575" s="185"/>
      <c r="H575" s="186"/>
      <c r="I575" s="186"/>
      <c r="J575" s="186"/>
      <c r="K575" s="185"/>
      <c r="L575" s="185"/>
      <c r="M575" s="186"/>
      <c r="N575" s="185"/>
      <c r="O575" s="185"/>
      <c r="P575" s="185"/>
      <c r="Q575" s="185"/>
      <c r="R575" s="185"/>
      <c r="S575" s="185"/>
    </row>
    <row r="576" spans="1:19">
      <c r="A576" s="185"/>
      <c r="B576" s="661"/>
      <c r="C576" s="185"/>
      <c r="D576" s="185"/>
      <c r="E576" s="185"/>
      <c r="F576" s="185"/>
      <c r="G576" s="185"/>
      <c r="H576" s="186"/>
      <c r="I576" s="186"/>
      <c r="J576" s="186"/>
      <c r="K576" s="185"/>
      <c r="L576" s="185"/>
      <c r="M576" s="186"/>
      <c r="N576" s="185"/>
      <c r="O576" s="185"/>
      <c r="P576" s="185"/>
      <c r="Q576" s="185"/>
      <c r="R576" s="185"/>
      <c r="S576" s="185"/>
    </row>
    <row r="577" spans="1:19">
      <c r="A577" s="185"/>
      <c r="B577" s="661"/>
      <c r="C577" s="185"/>
      <c r="D577" s="185"/>
      <c r="E577" s="185"/>
      <c r="F577" s="185"/>
      <c r="G577" s="185"/>
      <c r="H577" s="186"/>
      <c r="I577" s="186"/>
      <c r="J577" s="186"/>
      <c r="K577" s="185"/>
      <c r="L577" s="185"/>
      <c r="M577" s="186"/>
      <c r="N577" s="185"/>
      <c r="O577" s="185"/>
      <c r="P577" s="185"/>
      <c r="Q577" s="185"/>
      <c r="R577" s="185"/>
      <c r="S577" s="185"/>
    </row>
    <row r="578" spans="1:19">
      <c r="A578" s="185"/>
      <c r="B578" s="661"/>
      <c r="C578" s="185"/>
      <c r="D578" s="185"/>
      <c r="E578" s="185"/>
      <c r="F578" s="185"/>
      <c r="G578" s="185"/>
      <c r="H578" s="186"/>
      <c r="I578" s="186"/>
      <c r="J578" s="186"/>
      <c r="K578" s="185"/>
      <c r="L578" s="185"/>
      <c r="M578" s="186"/>
      <c r="N578" s="185"/>
      <c r="O578" s="185"/>
      <c r="P578" s="185"/>
      <c r="Q578" s="185"/>
      <c r="R578" s="185"/>
      <c r="S578" s="185"/>
    </row>
    <row r="579" spans="1:19">
      <c r="A579" s="185"/>
      <c r="B579" s="661"/>
      <c r="C579" s="185"/>
      <c r="D579" s="185"/>
      <c r="E579" s="185"/>
      <c r="F579" s="185"/>
      <c r="G579" s="185"/>
      <c r="H579" s="186"/>
      <c r="I579" s="186"/>
      <c r="J579" s="186"/>
      <c r="K579" s="185"/>
      <c r="L579" s="185"/>
      <c r="M579" s="186"/>
      <c r="N579" s="185"/>
      <c r="O579" s="185"/>
      <c r="P579" s="185"/>
      <c r="Q579" s="185"/>
      <c r="R579" s="185"/>
      <c r="S579" s="185"/>
    </row>
    <row r="580" spans="1:19">
      <c r="A580" s="185"/>
      <c r="B580" s="661"/>
      <c r="C580" s="185"/>
      <c r="D580" s="185"/>
      <c r="E580" s="185"/>
      <c r="F580" s="185"/>
      <c r="G580" s="185"/>
      <c r="H580" s="186"/>
      <c r="I580" s="186"/>
      <c r="J580" s="186"/>
      <c r="K580" s="185"/>
      <c r="L580" s="185"/>
      <c r="M580" s="186"/>
      <c r="N580" s="185"/>
      <c r="O580" s="185"/>
      <c r="P580" s="185"/>
      <c r="Q580" s="185"/>
      <c r="R580" s="185"/>
      <c r="S580" s="185"/>
    </row>
    <row r="581" spans="1:19">
      <c r="A581" s="185"/>
      <c r="B581" s="661"/>
      <c r="C581" s="185"/>
      <c r="D581" s="185"/>
      <c r="E581" s="185"/>
      <c r="F581" s="185"/>
      <c r="G581" s="185"/>
      <c r="H581" s="186"/>
      <c r="I581" s="186"/>
      <c r="J581" s="186"/>
      <c r="K581" s="185"/>
      <c r="L581" s="185"/>
      <c r="M581" s="186"/>
      <c r="N581" s="185"/>
      <c r="O581" s="185"/>
      <c r="P581" s="185"/>
      <c r="Q581" s="185"/>
      <c r="R581" s="185"/>
      <c r="S581" s="185"/>
    </row>
    <row r="582" spans="1:19">
      <c r="A582" s="185"/>
      <c r="B582" s="661"/>
      <c r="C582" s="185"/>
      <c r="D582" s="185"/>
      <c r="E582" s="185"/>
      <c r="F582" s="185"/>
      <c r="G582" s="185"/>
      <c r="H582" s="186"/>
      <c r="I582" s="186"/>
      <c r="J582" s="186"/>
      <c r="K582" s="185"/>
      <c r="L582" s="185"/>
      <c r="M582" s="186"/>
      <c r="N582" s="185"/>
      <c r="O582" s="185"/>
      <c r="P582" s="185"/>
      <c r="Q582" s="185"/>
      <c r="R582" s="185"/>
      <c r="S582" s="185"/>
    </row>
    <row r="583" spans="1:19">
      <c r="A583" s="185"/>
      <c r="B583" s="661"/>
      <c r="C583" s="185"/>
      <c r="D583" s="185"/>
      <c r="E583" s="185"/>
      <c r="F583" s="185"/>
      <c r="G583" s="185"/>
      <c r="H583" s="186"/>
      <c r="I583" s="186"/>
      <c r="J583" s="186"/>
      <c r="K583" s="185"/>
      <c r="L583" s="185"/>
      <c r="M583" s="186"/>
      <c r="N583" s="185"/>
      <c r="O583" s="185"/>
      <c r="P583" s="185"/>
      <c r="Q583" s="185"/>
      <c r="R583" s="185"/>
      <c r="S583" s="185"/>
    </row>
    <row r="584" spans="1:19">
      <c r="A584" s="185"/>
      <c r="B584" s="661"/>
      <c r="C584" s="185"/>
      <c r="D584" s="185"/>
      <c r="E584" s="185"/>
      <c r="F584" s="185"/>
      <c r="G584" s="185"/>
      <c r="H584" s="186"/>
      <c r="I584" s="186"/>
      <c r="J584" s="186"/>
      <c r="K584" s="185"/>
      <c r="L584" s="185"/>
      <c r="M584" s="186"/>
      <c r="N584" s="185"/>
      <c r="O584" s="185"/>
      <c r="P584" s="185"/>
      <c r="Q584" s="185"/>
      <c r="R584" s="185"/>
      <c r="S584" s="185"/>
    </row>
    <row r="585" spans="1:19">
      <c r="A585" s="185"/>
      <c r="B585" s="661"/>
      <c r="C585" s="185"/>
      <c r="D585" s="185"/>
      <c r="E585" s="185"/>
      <c r="F585" s="185"/>
      <c r="G585" s="185"/>
      <c r="H585" s="186"/>
      <c r="I585" s="186"/>
      <c r="J585" s="186"/>
      <c r="K585" s="185"/>
      <c r="L585" s="185"/>
      <c r="M585" s="186"/>
      <c r="N585" s="185"/>
      <c r="O585" s="185"/>
      <c r="P585" s="185"/>
      <c r="Q585" s="185"/>
      <c r="R585" s="185"/>
      <c r="S585" s="185"/>
    </row>
    <row r="586" spans="1:19">
      <c r="A586" s="185"/>
      <c r="B586" s="661"/>
      <c r="C586" s="185"/>
      <c r="D586" s="185"/>
      <c r="E586" s="185"/>
      <c r="F586" s="185"/>
      <c r="G586" s="185"/>
      <c r="H586" s="186"/>
      <c r="I586" s="186"/>
      <c r="J586" s="186"/>
      <c r="K586" s="185"/>
      <c r="L586" s="185"/>
      <c r="M586" s="186"/>
      <c r="N586" s="185"/>
      <c r="O586" s="185"/>
      <c r="P586" s="185"/>
      <c r="Q586" s="185"/>
      <c r="R586" s="185"/>
      <c r="S586" s="185"/>
    </row>
    <row r="587" spans="1:19">
      <c r="A587" s="185"/>
      <c r="B587" s="661"/>
      <c r="C587" s="185"/>
      <c r="D587" s="185"/>
      <c r="E587" s="185"/>
      <c r="F587" s="185"/>
      <c r="G587" s="185"/>
      <c r="H587" s="186"/>
      <c r="I587" s="186"/>
      <c r="J587" s="186"/>
      <c r="K587" s="185"/>
      <c r="L587" s="185"/>
      <c r="M587" s="186"/>
      <c r="N587" s="185"/>
      <c r="O587" s="185"/>
      <c r="P587" s="185"/>
      <c r="Q587" s="185"/>
      <c r="R587" s="185"/>
      <c r="S587" s="185"/>
    </row>
    <row r="588" spans="1:19">
      <c r="A588" s="185"/>
      <c r="B588" s="661"/>
      <c r="C588" s="185"/>
      <c r="D588" s="185"/>
      <c r="E588" s="185"/>
      <c r="F588" s="185"/>
      <c r="G588" s="185"/>
      <c r="H588" s="186"/>
      <c r="I588" s="186"/>
      <c r="J588" s="186"/>
      <c r="K588" s="185"/>
      <c r="L588" s="185"/>
      <c r="M588" s="186"/>
      <c r="N588" s="185"/>
      <c r="O588" s="185"/>
      <c r="P588" s="185"/>
      <c r="Q588" s="185"/>
      <c r="R588" s="185"/>
      <c r="S588" s="185"/>
    </row>
    <row r="589" spans="1:19">
      <c r="A589" s="185"/>
      <c r="B589" s="661"/>
      <c r="C589" s="185"/>
      <c r="D589" s="185"/>
      <c r="E589" s="185"/>
      <c r="F589" s="185"/>
      <c r="G589" s="185"/>
      <c r="H589" s="186"/>
      <c r="I589" s="186"/>
      <c r="J589" s="186"/>
      <c r="K589" s="185"/>
      <c r="L589" s="185"/>
      <c r="M589" s="186"/>
      <c r="N589" s="185"/>
      <c r="O589" s="185"/>
      <c r="P589" s="185"/>
      <c r="Q589" s="185"/>
      <c r="R589" s="185"/>
      <c r="S589" s="185"/>
    </row>
    <row r="590" spans="1:19">
      <c r="A590" s="185"/>
      <c r="B590" s="661"/>
      <c r="C590" s="185"/>
      <c r="D590" s="185"/>
      <c r="E590" s="185"/>
      <c r="F590" s="185"/>
      <c r="G590" s="185"/>
      <c r="H590" s="186"/>
      <c r="I590" s="186"/>
      <c r="J590" s="186"/>
      <c r="K590" s="185"/>
      <c r="L590" s="185"/>
      <c r="M590" s="186"/>
      <c r="N590" s="185"/>
      <c r="O590" s="185"/>
      <c r="P590" s="185"/>
      <c r="Q590" s="185"/>
      <c r="R590" s="185"/>
      <c r="S590" s="185"/>
    </row>
    <row r="591" spans="1:19">
      <c r="A591" s="185"/>
      <c r="B591" s="661"/>
      <c r="C591" s="185"/>
      <c r="D591" s="185"/>
      <c r="E591" s="185"/>
      <c r="F591" s="185"/>
      <c r="G591" s="185"/>
      <c r="H591" s="186"/>
      <c r="I591" s="186"/>
      <c r="J591" s="186"/>
      <c r="K591" s="185"/>
      <c r="L591" s="185"/>
      <c r="M591" s="186"/>
      <c r="N591" s="185"/>
      <c r="O591" s="185"/>
      <c r="P591" s="185"/>
      <c r="Q591" s="185"/>
      <c r="R591" s="185"/>
      <c r="S591" s="185"/>
    </row>
    <row r="592" spans="1:19">
      <c r="A592" s="185"/>
      <c r="B592" s="661"/>
      <c r="C592" s="185"/>
      <c r="D592" s="185"/>
      <c r="E592" s="185"/>
      <c r="F592" s="185"/>
      <c r="G592" s="185"/>
      <c r="H592" s="186"/>
      <c r="I592" s="186"/>
      <c r="J592" s="186"/>
      <c r="K592" s="185"/>
      <c r="L592" s="185"/>
      <c r="M592" s="186"/>
      <c r="N592" s="185"/>
      <c r="O592" s="185"/>
      <c r="P592" s="185"/>
      <c r="Q592" s="185"/>
      <c r="R592" s="185"/>
      <c r="S592" s="185"/>
    </row>
    <row r="593" spans="1:19">
      <c r="A593" s="185"/>
      <c r="B593" s="661"/>
      <c r="C593" s="185"/>
      <c r="D593" s="185"/>
      <c r="E593" s="185"/>
      <c r="F593" s="185"/>
      <c r="G593" s="185"/>
      <c r="H593" s="186"/>
      <c r="I593" s="186"/>
      <c r="J593" s="186"/>
      <c r="K593" s="185"/>
      <c r="L593" s="185"/>
      <c r="M593" s="186"/>
      <c r="N593" s="185"/>
      <c r="O593" s="185"/>
      <c r="P593" s="185"/>
      <c r="Q593" s="185"/>
      <c r="R593" s="185"/>
      <c r="S593" s="185"/>
    </row>
    <row r="594" spans="1:19">
      <c r="A594" s="185"/>
      <c r="B594" s="661"/>
      <c r="C594" s="185"/>
      <c r="D594" s="185"/>
      <c r="E594" s="185"/>
      <c r="F594" s="185"/>
      <c r="G594" s="185"/>
      <c r="H594" s="186"/>
      <c r="I594" s="186"/>
      <c r="J594" s="186"/>
      <c r="K594" s="185"/>
      <c r="L594" s="185"/>
      <c r="M594" s="186"/>
      <c r="N594" s="185"/>
      <c r="O594" s="185"/>
      <c r="P594" s="185"/>
      <c r="Q594" s="185"/>
      <c r="R594" s="185"/>
      <c r="S594" s="185"/>
    </row>
    <row r="595" spans="1:19">
      <c r="A595" s="185"/>
      <c r="B595" s="661"/>
      <c r="C595" s="185"/>
      <c r="D595" s="185"/>
      <c r="E595" s="185"/>
      <c r="F595" s="185"/>
      <c r="G595" s="185"/>
      <c r="H595" s="186"/>
      <c r="I595" s="186"/>
      <c r="J595" s="186"/>
      <c r="K595" s="185"/>
      <c r="L595" s="185"/>
      <c r="M595" s="186"/>
      <c r="N595" s="185"/>
      <c r="O595" s="185"/>
      <c r="P595" s="185"/>
      <c r="Q595" s="185"/>
      <c r="R595" s="185"/>
      <c r="S595" s="185"/>
    </row>
    <row r="596" spans="1:19">
      <c r="A596" s="185"/>
      <c r="B596" s="661"/>
      <c r="C596" s="185"/>
      <c r="D596" s="185"/>
      <c r="E596" s="185"/>
      <c r="F596" s="185"/>
      <c r="G596" s="185"/>
      <c r="H596" s="186"/>
      <c r="I596" s="186"/>
      <c r="J596" s="186"/>
      <c r="K596" s="185"/>
      <c r="L596" s="185"/>
      <c r="M596" s="186"/>
      <c r="N596" s="185"/>
      <c r="O596" s="185"/>
      <c r="P596" s="185"/>
      <c r="Q596" s="185"/>
      <c r="R596" s="185"/>
      <c r="S596" s="185"/>
    </row>
    <row r="597" spans="1:19">
      <c r="A597" s="185"/>
      <c r="B597" s="661"/>
      <c r="C597" s="185"/>
      <c r="D597" s="185"/>
      <c r="E597" s="185"/>
      <c r="F597" s="185"/>
      <c r="G597" s="185"/>
      <c r="H597" s="186"/>
      <c r="I597" s="186"/>
      <c r="J597" s="186"/>
      <c r="K597" s="185"/>
      <c r="L597" s="185"/>
      <c r="M597" s="186"/>
      <c r="N597" s="185"/>
      <c r="O597" s="185"/>
      <c r="P597" s="185"/>
      <c r="Q597" s="185"/>
      <c r="R597" s="185"/>
      <c r="S597" s="185"/>
    </row>
    <row r="598" spans="1:19">
      <c r="A598" s="185"/>
      <c r="B598" s="661"/>
      <c r="C598" s="185"/>
      <c r="D598" s="185"/>
      <c r="E598" s="185"/>
      <c r="F598" s="185"/>
      <c r="G598" s="185"/>
      <c r="H598" s="186"/>
      <c r="I598" s="186"/>
      <c r="J598" s="186"/>
      <c r="K598" s="185"/>
      <c r="L598" s="185"/>
      <c r="M598" s="186"/>
      <c r="N598" s="185"/>
      <c r="O598" s="185"/>
      <c r="P598" s="185"/>
      <c r="Q598" s="185"/>
      <c r="R598" s="185"/>
      <c r="S598" s="185"/>
    </row>
    <row r="599" spans="1:19">
      <c r="A599" s="185"/>
      <c r="B599" s="661"/>
      <c r="C599" s="185"/>
      <c r="D599" s="185"/>
      <c r="E599" s="185"/>
      <c r="F599" s="185"/>
      <c r="G599" s="185"/>
      <c r="H599" s="186"/>
      <c r="I599" s="186"/>
      <c r="J599" s="186"/>
      <c r="K599" s="185"/>
      <c r="L599" s="185"/>
      <c r="M599" s="186"/>
      <c r="N599" s="185"/>
      <c r="O599" s="185"/>
      <c r="P599" s="185"/>
      <c r="Q599" s="185"/>
      <c r="R599" s="185"/>
      <c r="S599" s="185"/>
    </row>
    <row r="600" spans="1:19">
      <c r="A600" s="185"/>
      <c r="B600" s="661"/>
      <c r="C600" s="185"/>
      <c r="D600" s="185"/>
      <c r="E600" s="185"/>
      <c r="F600" s="185"/>
      <c r="G600" s="185"/>
      <c r="H600" s="186"/>
      <c r="I600" s="186"/>
      <c r="J600" s="186"/>
      <c r="K600" s="185"/>
      <c r="L600" s="185"/>
      <c r="M600" s="186"/>
      <c r="N600" s="185"/>
      <c r="O600" s="185"/>
      <c r="P600" s="185"/>
      <c r="Q600" s="185"/>
      <c r="R600" s="185"/>
      <c r="S600" s="185"/>
    </row>
    <row r="601" spans="1:19">
      <c r="A601" s="185"/>
      <c r="B601" s="661"/>
      <c r="C601" s="185"/>
      <c r="D601" s="185"/>
      <c r="E601" s="185"/>
      <c r="F601" s="185"/>
      <c r="G601" s="185"/>
      <c r="H601" s="186"/>
      <c r="I601" s="186"/>
      <c r="J601" s="186"/>
      <c r="K601" s="185"/>
      <c r="L601" s="185"/>
      <c r="M601" s="186"/>
      <c r="N601" s="185"/>
      <c r="O601" s="185"/>
      <c r="P601" s="185"/>
      <c r="Q601" s="185"/>
      <c r="R601" s="185"/>
      <c r="S601" s="185"/>
    </row>
    <row r="602" spans="1:19">
      <c r="A602" s="185"/>
      <c r="B602" s="661"/>
      <c r="C602" s="185"/>
      <c r="D602" s="185"/>
      <c r="E602" s="185"/>
      <c r="F602" s="185"/>
      <c r="G602" s="185"/>
      <c r="H602" s="186"/>
      <c r="I602" s="186"/>
      <c r="J602" s="186"/>
      <c r="K602" s="185"/>
      <c r="L602" s="185"/>
      <c r="M602" s="186"/>
      <c r="N602" s="185"/>
      <c r="O602" s="185"/>
      <c r="P602" s="185"/>
      <c r="Q602" s="185"/>
      <c r="R602" s="185"/>
      <c r="S602" s="185"/>
    </row>
    <row r="603" spans="1:19">
      <c r="A603" s="185"/>
      <c r="B603" s="661"/>
      <c r="C603" s="185"/>
      <c r="D603" s="185"/>
      <c r="E603" s="185"/>
      <c r="F603" s="185"/>
      <c r="G603" s="185"/>
      <c r="H603" s="186"/>
      <c r="I603" s="186"/>
      <c r="J603" s="186"/>
      <c r="K603" s="185"/>
      <c r="L603" s="185"/>
      <c r="M603" s="186"/>
      <c r="N603" s="185"/>
      <c r="O603" s="185"/>
      <c r="P603" s="185"/>
      <c r="Q603" s="185"/>
      <c r="R603" s="185"/>
      <c r="S603" s="185"/>
    </row>
    <row r="604" spans="1:19">
      <c r="A604" s="185"/>
      <c r="B604" s="661"/>
      <c r="C604" s="185"/>
      <c r="D604" s="185"/>
      <c r="E604" s="185"/>
      <c r="F604" s="185"/>
      <c r="G604" s="185"/>
      <c r="H604" s="186"/>
      <c r="I604" s="186"/>
      <c r="J604" s="186"/>
      <c r="K604" s="185"/>
      <c r="L604" s="185"/>
      <c r="M604" s="186"/>
      <c r="N604" s="185"/>
      <c r="O604" s="185"/>
      <c r="P604" s="185"/>
      <c r="Q604" s="185"/>
      <c r="R604" s="185"/>
      <c r="S604" s="185"/>
    </row>
    <row r="605" spans="1:19">
      <c r="A605" s="185"/>
      <c r="B605" s="661"/>
      <c r="C605" s="185"/>
      <c r="D605" s="185"/>
      <c r="E605" s="185"/>
      <c r="F605" s="185"/>
      <c r="G605" s="185"/>
      <c r="H605" s="186"/>
      <c r="I605" s="186"/>
      <c r="J605" s="186"/>
      <c r="K605" s="185"/>
      <c r="L605" s="185"/>
      <c r="M605" s="186"/>
      <c r="N605" s="185"/>
      <c r="O605" s="185"/>
      <c r="P605" s="185"/>
      <c r="Q605" s="185"/>
      <c r="R605" s="185"/>
      <c r="S605" s="185"/>
    </row>
    <row r="606" spans="1:19">
      <c r="A606" s="185"/>
      <c r="B606" s="661"/>
      <c r="C606" s="185"/>
      <c r="D606" s="185"/>
      <c r="E606" s="185"/>
      <c r="F606" s="185"/>
      <c r="G606" s="185"/>
      <c r="H606" s="186"/>
      <c r="I606" s="186"/>
      <c r="J606" s="186"/>
      <c r="K606" s="185"/>
      <c r="L606" s="185"/>
      <c r="M606" s="186"/>
      <c r="N606" s="185"/>
      <c r="O606" s="185"/>
      <c r="P606" s="185"/>
      <c r="Q606" s="185"/>
      <c r="R606" s="185"/>
      <c r="S606" s="185"/>
    </row>
    <row r="607" spans="1:19">
      <c r="A607" s="185"/>
      <c r="B607" s="661"/>
      <c r="C607" s="185"/>
      <c r="D607" s="185"/>
      <c r="E607" s="185"/>
      <c r="F607" s="185"/>
      <c r="G607" s="185"/>
      <c r="H607" s="186"/>
      <c r="I607" s="186"/>
      <c r="J607" s="186"/>
      <c r="K607" s="185"/>
      <c r="L607" s="185"/>
      <c r="M607" s="186"/>
      <c r="N607" s="185"/>
      <c r="O607" s="185"/>
      <c r="P607" s="185"/>
      <c r="Q607" s="185"/>
      <c r="R607" s="185"/>
      <c r="S607" s="185"/>
    </row>
    <row r="608" spans="1:19">
      <c r="A608" s="185"/>
      <c r="B608" s="661"/>
      <c r="C608" s="185"/>
      <c r="D608" s="185"/>
      <c r="E608" s="185"/>
      <c r="F608" s="185"/>
      <c r="G608" s="185"/>
      <c r="H608" s="186"/>
      <c r="I608" s="186"/>
      <c r="J608" s="186"/>
      <c r="K608" s="185"/>
      <c r="L608" s="185"/>
      <c r="M608" s="186"/>
      <c r="N608" s="185"/>
      <c r="O608" s="185"/>
      <c r="P608" s="185"/>
      <c r="Q608" s="185"/>
      <c r="R608" s="185"/>
      <c r="S608" s="185"/>
    </row>
    <row r="609" spans="1:19">
      <c r="A609" s="185"/>
      <c r="B609" s="661"/>
      <c r="C609" s="185"/>
      <c r="D609" s="185"/>
      <c r="E609" s="185"/>
      <c r="F609" s="185"/>
      <c r="G609" s="185"/>
      <c r="H609" s="186"/>
      <c r="I609" s="186"/>
      <c r="J609" s="186"/>
      <c r="K609" s="185"/>
      <c r="L609" s="185"/>
      <c r="M609" s="186"/>
      <c r="N609" s="185"/>
      <c r="O609" s="185"/>
      <c r="P609" s="185"/>
      <c r="Q609" s="185"/>
      <c r="R609" s="185"/>
      <c r="S609" s="185"/>
    </row>
    <row r="610" spans="1:19">
      <c r="A610" s="185"/>
      <c r="B610" s="661"/>
      <c r="C610" s="185"/>
      <c r="D610" s="185"/>
      <c r="E610" s="185"/>
      <c r="F610" s="185"/>
      <c r="G610" s="185"/>
      <c r="H610" s="186"/>
      <c r="I610" s="186"/>
      <c r="J610" s="186"/>
      <c r="K610" s="185"/>
      <c r="L610" s="185"/>
      <c r="M610" s="186"/>
      <c r="N610" s="185"/>
      <c r="O610" s="185"/>
      <c r="P610" s="185"/>
      <c r="Q610" s="185"/>
      <c r="R610" s="185"/>
      <c r="S610" s="185"/>
    </row>
    <row r="611" spans="1:19">
      <c r="A611" s="185"/>
      <c r="B611" s="661"/>
      <c r="C611" s="185"/>
      <c r="D611" s="185"/>
      <c r="E611" s="185"/>
      <c r="F611" s="185"/>
      <c r="G611" s="185"/>
      <c r="H611" s="186"/>
      <c r="I611" s="186"/>
      <c r="J611" s="186"/>
      <c r="K611" s="185"/>
      <c r="L611" s="185"/>
      <c r="M611" s="186"/>
      <c r="N611" s="185"/>
      <c r="O611" s="185"/>
      <c r="P611" s="185"/>
      <c r="Q611" s="185"/>
      <c r="R611" s="185"/>
      <c r="S611" s="185"/>
    </row>
    <row r="612" spans="1:19">
      <c r="A612" s="185"/>
      <c r="B612" s="661"/>
      <c r="C612" s="185"/>
      <c r="D612" s="185"/>
      <c r="E612" s="185"/>
      <c r="F612" s="185"/>
      <c r="G612" s="185"/>
      <c r="H612" s="186"/>
      <c r="I612" s="186"/>
      <c r="J612" s="186"/>
      <c r="K612" s="185"/>
      <c r="L612" s="185"/>
      <c r="M612" s="186"/>
      <c r="N612" s="185"/>
      <c r="O612" s="185"/>
      <c r="P612" s="185"/>
      <c r="Q612" s="185"/>
      <c r="R612" s="185"/>
      <c r="S612" s="185"/>
    </row>
    <row r="613" spans="1:19">
      <c r="A613" s="185"/>
      <c r="B613" s="661"/>
      <c r="C613" s="185"/>
      <c r="D613" s="185"/>
      <c r="E613" s="185"/>
      <c r="F613" s="185"/>
      <c r="G613" s="185"/>
      <c r="H613" s="186"/>
      <c r="I613" s="186"/>
      <c r="J613" s="186"/>
      <c r="K613" s="185"/>
      <c r="L613" s="185"/>
      <c r="M613" s="186"/>
      <c r="N613" s="185"/>
      <c r="O613" s="185"/>
      <c r="P613" s="185"/>
      <c r="Q613" s="185"/>
      <c r="R613" s="185"/>
      <c r="S613" s="185"/>
    </row>
    <row r="614" spans="1:19">
      <c r="A614" s="185"/>
      <c r="B614" s="661"/>
      <c r="C614" s="185"/>
      <c r="D614" s="185"/>
      <c r="E614" s="185"/>
      <c r="F614" s="185"/>
      <c r="G614" s="185"/>
      <c r="H614" s="186"/>
      <c r="I614" s="186"/>
      <c r="J614" s="186"/>
      <c r="K614" s="185"/>
      <c r="L614" s="185"/>
      <c r="M614" s="186"/>
      <c r="N614" s="185"/>
      <c r="O614" s="185"/>
      <c r="P614" s="185"/>
      <c r="Q614" s="185"/>
      <c r="R614" s="185"/>
      <c r="S614" s="185"/>
    </row>
    <row r="615" spans="1:19">
      <c r="A615" s="185"/>
      <c r="B615" s="661"/>
      <c r="C615" s="185"/>
      <c r="D615" s="185"/>
      <c r="E615" s="185"/>
      <c r="F615" s="185"/>
      <c r="G615" s="185"/>
      <c r="H615" s="186"/>
      <c r="I615" s="186"/>
      <c r="J615" s="186"/>
      <c r="K615" s="185"/>
      <c r="L615" s="185"/>
      <c r="M615" s="186"/>
      <c r="N615" s="185"/>
      <c r="O615" s="185"/>
      <c r="P615" s="185"/>
      <c r="Q615" s="185"/>
      <c r="R615" s="185"/>
      <c r="S615" s="185"/>
    </row>
    <row r="616" spans="1:19">
      <c r="A616" s="185"/>
      <c r="B616" s="661"/>
      <c r="C616" s="185"/>
      <c r="D616" s="185"/>
      <c r="E616" s="185"/>
      <c r="F616" s="185"/>
      <c r="G616" s="185"/>
      <c r="H616" s="186"/>
      <c r="I616" s="186"/>
      <c r="J616" s="186"/>
      <c r="K616" s="185"/>
      <c r="L616" s="185"/>
      <c r="M616" s="186"/>
      <c r="N616" s="185"/>
      <c r="O616" s="185"/>
      <c r="P616" s="185"/>
      <c r="Q616" s="185"/>
      <c r="R616" s="185"/>
      <c r="S616" s="185"/>
    </row>
    <row r="617" spans="1:19">
      <c r="A617" s="185"/>
      <c r="B617" s="661"/>
      <c r="C617" s="185"/>
      <c r="D617" s="185"/>
      <c r="E617" s="185"/>
      <c r="F617" s="185"/>
      <c r="G617" s="185"/>
      <c r="H617" s="186"/>
      <c r="I617" s="186"/>
      <c r="J617" s="186"/>
      <c r="K617" s="185"/>
      <c r="L617" s="185"/>
      <c r="M617" s="186"/>
      <c r="N617" s="185"/>
      <c r="O617" s="185"/>
      <c r="P617" s="185"/>
      <c r="Q617" s="185"/>
      <c r="R617" s="185"/>
      <c r="S617" s="185"/>
    </row>
    <row r="618" spans="1:19">
      <c r="A618" s="185"/>
      <c r="B618" s="661"/>
      <c r="C618" s="185"/>
      <c r="D618" s="185"/>
      <c r="E618" s="185"/>
      <c r="F618" s="185"/>
      <c r="G618" s="185"/>
      <c r="H618" s="186"/>
      <c r="I618" s="186"/>
      <c r="J618" s="186"/>
      <c r="K618" s="185"/>
      <c r="L618" s="185"/>
      <c r="M618" s="186"/>
      <c r="N618" s="185"/>
      <c r="O618" s="185"/>
      <c r="P618" s="185"/>
      <c r="Q618" s="185"/>
      <c r="R618" s="185"/>
      <c r="S618" s="185"/>
    </row>
    <row r="619" spans="1:19">
      <c r="A619" s="185"/>
      <c r="B619" s="661"/>
      <c r="C619" s="185"/>
      <c r="D619" s="185"/>
      <c r="E619" s="185"/>
      <c r="F619" s="185"/>
      <c r="G619" s="185"/>
      <c r="H619" s="186"/>
      <c r="I619" s="186"/>
      <c r="J619" s="186"/>
      <c r="K619" s="185"/>
      <c r="L619" s="185"/>
      <c r="M619" s="186"/>
      <c r="N619" s="185"/>
      <c r="O619" s="185"/>
      <c r="P619" s="185"/>
      <c r="Q619" s="185"/>
      <c r="R619" s="185"/>
      <c r="S619" s="185"/>
    </row>
    <row r="620" spans="1:19">
      <c r="A620" s="185"/>
      <c r="B620" s="661"/>
      <c r="C620" s="185"/>
      <c r="D620" s="185"/>
      <c r="E620" s="185"/>
      <c r="F620" s="185"/>
      <c r="G620" s="185"/>
      <c r="H620" s="186"/>
      <c r="I620" s="186"/>
      <c r="J620" s="186"/>
      <c r="K620" s="185"/>
      <c r="L620" s="185"/>
      <c r="M620" s="186"/>
      <c r="N620" s="185"/>
      <c r="O620" s="185"/>
      <c r="P620" s="185"/>
      <c r="Q620" s="185"/>
      <c r="R620" s="185"/>
      <c r="S620" s="185"/>
    </row>
    <row r="621" spans="1:19">
      <c r="A621" s="185"/>
      <c r="B621" s="661"/>
      <c r="C621" s="185"/>
      <c r="D621" s="185"/>
      <c r="E621" s="185"/>
      <c r="F621" s="185"/>
      <c r="G621" s="185"/>
      <c r="H621" s="186"/>
      <c r="I621" s="186"/>
      <c r="J621" s="186"/>
      <c r="K621" s="185"/>
      <c r="L621" s="185"/>
      <c r="M621" s="186"/>
      <c r="N621" s="185"/>
      <c r="O621" s="185"/>
      <c r="P621" s="185"/>
      <c r="Q621" s="185"/>
      <c r="R621" s="185"/>
      <c r="S621" s="185"/>
    </row>
    <row r="622" spans="1:19">
      <c r="A622" s="185"/>
      <c r="B622" s="661"/>
      <c r="C622" s="185"/>
      <c r="D622" s="185"/>
      <c r="E622" s="185"/>
      <c r="F622" s="185"/>
      <c r="G622" s="185"/>
      <c r="H622" s="186"/>
      <c r="I622" s="186"/>
      <c r="J622" s="186"/>
      <c r="K622" s="185"/>
      <c r="L622" s="185"/>
      <c r="M622" s="186"/>
      <c r="N622" s="185"/>
      <c r="O622" s="185"/>
      <c r="P622" s="185"/>
      <c r="Q622" s="185"/>
      <c r="R622" s="185"/>
      <c r="S622" s="185"/>
    </row>
    <row r="623" spans="1:19">
      <c r="A623" s="185"/>
      <c r="B623" s="661"/>
      <c r="C623" s="185"/>
      <c r="D623" s="185"/>
      <c r="E623" s="185"/>
      <c r="F623" s="185"/>
      <c r="G623" s="185"/>
      <c r="H623" s="186"/>
      <c r="I623" s="186"/>
      <c r="J623" s="186"/>
      <c r="K623" s="185"/>
      <c r="L623" s="185"/>
      <c r="M623" s="186"/>
      <c r="N623" s="185"/>
      <c r="O623" s="185"/>
      <c r="P623" s="185"/>
      <c r="Q623" s="185"/>
      <c r="R623" s="185"/>
      <c r="S623" s="185"/>
    </row>
    <row r="624" spans="1:19">
      <c r="A624" s="185"/>
      <c r="B624" s="661"/>
      <c r="C624" s="185"/>
      <c r="D624" s="185"/>
      <c r="E624" s="185"/>
      <c r="F624" s="185"/>
      <c r="G624" s="185"/>
      <c r="H624" s="186"/>
      <c r="I624" s="186"/>
      <c r="J624" s="186"/>
      <c r="K624" s="185"/>
      <c r="L624" s="185"/>
      <c r="M624" s="186"/>
      <c r="N624" s="185"/>
      <c r="O624" s="185"/>
      <c r="P624" s="185"/>
      <c r="Q624" s="185"/>
      <c r="R624" s="185"/>
      <c r="S624" s="185"/>
    </row>
    <row r="625" spans="1:19">
      <c r="A625" s="185"/>
      <c r="B625" s="661"/>
      <c r="C625" s="185"/>
      <c r="D625" s="185"/>
      <c r="E625" s="185"/>
      <c r="F625" s="185"/>
      <c r="G625" s="185"/>
      <c r="H625" s="186"/>
      <c r="I625" s="186"/>
      <c r="J625" s="186"/>
      <c r="K625" s="185"/>
      <c r="L625" s="185"/>
      <c r="M625" s="186"/>
      <c r="N625" s="185"/>
      <c r="O625" s="185"/>
      <c r="P625" s="185"/>
      <c r="Q625" s="185"/>
      <c r="R625" s="185"/>
      <c r="S625" s="185"/>
    </row>
    <row r="626" spans="1:19">
      <c r="A626" s="185"/>
      <c r="B626" s="661"/>
      <c r="C626" s="185"/>
      <c r="D626" s="185"/>
      <c r="E626" s="185"/>
      <c r="F626" s="185"/>
      <c r="G626" s="185"/>
      <c r="H626" s="186"/>
      <c r="I626" s="186"/>
      <c r="J626" s="186"/>
      <c r="K626" s="185"/>
      <c r="L626" s="185"/>
      <c r="M626" s="186"/>
      <c r="N626" s="185"/>
      <c r="O626" s="185"/>
      <c r="P626" s="185"/>
      <c r="Q626" s="185"/>
      <c r="R626" s="185"/>
      <c r="S626" s="185"/>
    </row>
    <row r="627" spans="1:19">
      <c r="A627" s="185"/>
      <c r="B627" s="661"/>
      <c r="C627" s="185"/>
      <c r="D627" s="185"/>
      <c r="E627" s="185"/>
      <c r="F627" s="185"/>
      <c r="G627" s="185"/>
      <c r="H627" s="186"/>
      <c r="I627" s="186"/>
      <c r="J627" s="186"/>
      <c r="K627" s="185"/>
      <c r="L627" s="185"/>
      <c r="M627" s="186"/>
      <c r="N627" s="185"/>
      <c r="O627" s="185"/>
      <c r="P627" s="185"/>
      <c r="Q627" s="185"/>
      <c r="R627" s="185"/>
      <c r="S627" s="185"/>
    </row>
    <row r="628" spans="1:19">
      <c r="A628" s="185"/>
      <c r="B628" s="661"/>
      <c r="C628" s="185"/>
      <c r="D628" s="185"/>
      <c r="E628" s="185"/>
      <c r="F628" s="185"/>
      <c r="G628" s="185"/>
      <c r="H628" s="186"/>
      <c r="I628" s="186"/>
      <c r="J628" s="186"/>
      <c r="K628" s="185"/>
      <c r="L628" s="185"/>
      <c r="M628" s="186"/>
      <c r="N628" s="185"/>
      <c r="O628" s="185"/>
      <c r="P628" s="185"/>
      <c r="Q628" s="185"/>
      <c r="R628" s="185"/>
      <c r="S628" s="185"/>
    </row>
    <row r="629" spans="1:19">
      <c r="A629" s="185"/>
      <c r="B629" s="661"/>
      <c r="C629" s="185"/>
      <c r="D629" s="185"/>
      <c r="E629" s="185"/>
      <c r="F629" s="185"/>
      <c r="G629" s="185"/>
      <c r="H629" s="186"/>
      <c r="I629" s="186"/>
      <c r="J629" s="186"/>
      <c r="K629" s="185"/>
      <c r="L629" s="185"/>
      <c r="M629" s="186"/>
      <c r="N629" s="185"/>
      <c r="O629" s="185"/>
      <c r="P629" s="185"/>
      <c r="Q629" s="185"/>
      <c r="R629" s="185"/>
      <c r="S629" s="185"/>
    </row>
    <row r="630" spans="1:19">
      <c r="A630" s="185"/>
      <c r="B630" s="661"/>
      <c r="C630" s="185"/>
      <c r="D630" s="185"/>
      <c r="E630" s="185"/>
      <c r="F630" s="185"/>
      <c r="G630" s="185"/>
      <c r="H630" s="186"/>
      <c r="I630" s="186"/>
      <c r="J630" s="186"/>
      <c r="K630" s="185"/>
      <c r="L630" s="185"/>
      <c r="M630" s="186"/>
      <c r="N630" s="185"/>
      <c r="O630" s="185"/>
      <c r="P630" s="185"/>
      <c r="Q630" s="185"/>
      <c r="R630" s="185"/>
      <c r="S630" s="185"/>
    </row>
    <row r="631" spans="1:19">
      <c r="A631" s="185"/>
      <c r="B631" s="661"/>
      <c r="C631" s="185"/>
      <c r="D631" s="185"/>
      <c r="E631" s="185"/>
      <c r="F631" s="185"/>
      <c r="G631" s="185"/>
      <c r="H631" s="186"/>
      <c r="I631" s="186"/>
      <c r="J631" s="186"/>
      <c r="K631" s="185"/>
      <c r="L631" s="185"/>
      <c r="M631" s="186"/>
      <c r="N631" s="185"/>
      <c r="O631" s="185"/>
      <c r="P631" s="185"/>
      <c r="Q631" s="185"/>
      <c r="R631" s="185"/>
      <c r="S631" s="185"/>
    </row>
    <row r="632" spans="1:19">
      <c r="A632" s="185"/>
      <c r="B632" s="661"/>
      <c r="C632" s="185"/>
      <c r="D632" s="185"/>
      <c r="E632" s="185"/>
      <c r="F632" s="185"/>
      <c r="G632" s="185"/>
      <c r="H632" s="186"/>
      <c r="I632" s="186"/>
      <c r="J632" s="186"/>
      <c r="K632" s="185"/>
      <c r="L632" s="185"/>
      <c r="M632" s="186"/>
      <c r="N632" s="185"/>
      <c r="O632" s="185"/>
      <c r="P632" s="185"/>
      <c r="Q632" s="185"/>
      <c r="R632" s="185"/>
      <c r="S632" s="185"/>
    </row>
    <row r="633" spans="1:19">
      <c r="A633" s="185"/>
      <c r="B633" s="661"/>
      <c r="C633" s="185"/>
      <c r="D633" s="185"/>
      <c r="E633" s="185"/>
      <c r="F633" s="185"/>
      <c r="G633" s="185"/>
      <c r="H633" s="186"/>
      <c r="I633" s="186"/>
      <c r="J633" s="186"/>
      <c r="K633" s="185"/>
      <c r="L633" s="185"/>
      <c r="M633" s="186"/>
      <c r="N633" s="185"/>
      <c r="O633" s="185"/>
      <c r="P633" s="185"/>
      <c r="Q633" s="185"/>
      <c r="R633" s="185"/>
      <c r="S633" s="185"/>
    </row>
    <row r="634" spans="1:19">
      <c r="A634" s="185"/>
      <c r="B634" s="661"/>
      <c r="C634" s="185"/>
      <c r="D634" s="185"/>
      <c r="E634" s="185"/>
      <c r="F634" s="185"/>
      <c r="G634" s="185"/>
      <c r="H634" s="186"/>
      <c r="I634" s="186"/>
      <c r="J634" s="186"/>
      <c r="K634" s="185"/>
      <c r="L634" s="185"/>
      <c r="M634" s="186"/>
      <c r="N634" s="185"/>
      <c r="O634" s="185"/>
      <c r="P634" s="185"/>
      <c r="Q634" s="185"/>
      <c r="R634" s="185"/>
      <c r="S634" s="185"/>
    </row>
    <row r="635" spans="1:19">
      <c r="A635" s="185"/>
      <c r="B635" s="661"/>
      <c r="C635" s="185"/>
      <c r="D635" s="185"/>
      <c r="E635" s="185"/>
      <c r="F635" s="185"/>
      <c r="G635" s="185"/>
      <c r="H635" s="186"/>
      <c r="I635" s="186"/>
      <c r="J635" s="186"/>
      <c r="K635" s="185"/>
      <c r="L635" s="185"/>
      <c r="M635" s="186"/>
      <c r="N635" s="185"/>
      <c r="O635" s="185"/>
      <c r="P635" s="185"/>
      <c r="Q635" s="185"/>
      <c r="R635" s="185"/>
      <c r="S635" s="185"/>
    </row>
    <row r="636" spans="1:19">
      <c r="A636" s="185"/>
      <c r="B636" s="661"/>
      <c r="C636" s="185"/>
      <c r="D636" s="185"/>
      <c r="E636" s="185"/>
      <c r="F636" s="185"/>
      <c r="G636" s="185"/>
      <c r="H636" s="186"/>
      <c r="I636" s="186"/>
      <c r="J636" s="186"/>
      <c r="K636" s="185"/>
      <c r="L636" s="185"/>
      <c r="M636" s="186"/>
      <c r="N636" s="185"/>
      <c r="O636" s="185"/>
      <c r="P636" s="185"/>
      <c r="Q636" s="185"/>
      <c r="R636" s="185"/>
      <c r="S636" s="185"/>
    </row>
    <row r="637" spans="1:19">
      <c r="A637" s="185"/>
      <c r="B637" s="661"/>
      <c r="C637" s="185"/>
      <c r="D637" s="185"/>
      <c r="E637" s="185"/>
      <c r="F637" s="185"/>
      <c r="G637" s="185"/>
      <c r="H637" s="186"/>
      <c r="I637" s="186"/>
      <c r="J637" s="186"/>
      <c r="K637" s="185"/>
      <c r="L637" s="185"/>
      <c r="M637" s="186"/>
      <c r="N637" s="185"/>
      <c r="O637" s="185"/>
      <c r="P637" s="185"/>
      <c r="Q637" s="185"/>
      <c r="R637" s="185"/>
      <c r="S637" s="185"/>
    </row>
    <row r="638" spans="1:19">
      <c r="A638" s="185"/>
      <c r="B638" s="661"/>
      <c r="C638" s="185"/>
      <c r="D638" s="185"/>
      <c r="E638" s="185"/>
      <c r="F638" s="185"/>
      <c r="G638" s="185"/>
      <c r="H638" s="186"/>
      <c r="I638" s="186"/>
      <c r="J638" s="186"/>
      <c r="K638" s="185"/>
      <c r="L638" s="185"/>
      <c r="M638" s="186"/>
      <c r="N638" s="185"/>
      <c r="O638" s="185"/>
      <c r="P638" s="185"/>
      <c r="Q638" s="185"/>
      <c r="R638" s="185"/>
      <c r="S638" s="185"/>
    </row>
  </sheetData>
  <mergeCells count="17">
    <mergeCell ref="D51:L51"/>
    <mergeCell ref="D52:L52"/>
    <mergeCell ref="D53:L53"/>
    <mergeCell ref="E54:F55"/>
    <mergeCell ref="I54:L54"/>
    <mergeCell ref="I55:J55"/>
    <mergeCell ref="K55:L55"/>
    <mergeCell ref="K90:N92"/>
    <mergeCell ref="D2:L2"/>
    <mergeCell ref="D4:L4"/>
    <mergeCell ref="D5:L5"/>
    <mergeCell ref="D6:L6"/>
    <mergeCell ref="E7:F8"/>
    <mergeCell ref="I7:L7"/>
    <mergeCell ref="I8:J8"/>
    <mergeCell ref="K8:L8"/>
    <mergeCell ref="D49:L49"/>
  </mergeCells>
  <conditionalFormatting sqref="E12:F14 E19:F25 E30:F35 E40:F44 E72:F83 E59:F66">
    <cfRule type="expression" dxfId="18" priority="1" stopIfTrue="1">
      <formula>$H$7="Estimated"</formula>
    </cfRule>
  </conditionalFormatting>
  <printOptions horizontalCentered="1"/>
  <pageMargins left="0.25" right="0.25" top="0.5" bottom="0.5" header="0" footer="0"/>
  <pageSetup scale="57" fitToHeight="2" orientation="landscape" blackAndWhite="1" r:id="rId1"/>
  <headerFooter alignWithMargins="0"/>
  <rowBreaks count="1" manualBreakCount="1">
    <brk id="48" max="15" man="1"/>
  </rowBreaks>
  <legacyDrawing r:id="rId2"/>
</worksheet>
</file>

<file path=xl/worksheets/sheet24.xml><?xml version="1.0" encoding="utf-8"?>
<worksheet xmlns="http://schemas.openxmlformats.org/spreadsheetml/2006/main" xmlns:r="http://schemas.openxmlformats.org/officeDocument/2006/relationships">
  <sheetPr codeName="Sheet3"/>
  <dimension ref="A1:R446"/>
  <sheetViews>
    <sheetView showGridLines="0" topLeftCell="A64" zoomScale="80" zoomScaleNormal="80" zoomScaleSheetLayoutView="75" workbookViewId="0">
      <selection activeCell="L65" sqref="L65"/>
    </sheetView>
  </sheetViews>
  <sheetFormatPr defaultColWidth="8.85546875" defaultRowHeight="12.75"/>
  <cols>
    <col min="1" max="1" width="8.85546875" style="91"/>
    <col min="2" max="2" width="8.7109375" style="129" customWidth="1"/>
    <col min="3" max="3" width="36.140625" style="91" customWidth="1"/>
    <col min="4" max="10" width="14.28515625" style="90" customWidth="1"/>
    <col min="11" max="13" width="14.28515625" style="91" customWidth="1"/>
    <col min="14" max="16384" width="8.85546875" style="91"/>
  </cols>
  <sheetData>
    <row r="1" spans="1:18">
      <c r="A1" s="185"/>
      <c r="B1" s="714" t="str">
        <f>TestYear &amp; " Test Year"</f>
        <v>2015 Test Year</v>
      </c>
      <c r="C1" s="671"/>
      <c r="D1" s="2014" t="str">
        <f>Utility</f>
        <v>MADISON WATER UTILITY</v>
      </c>
      <c r="E1" s="2014"/>
      <c r="F1" s="2014"/>
      <c r="G1" s="2014"/>
      <c r="H1" s="2014"/>
      <c r="I1" s="2029"/>
      <c r="J1" s="2029"/>
      <c r="K1" s="2029"/>
      <c r="L1" s="671"/>
      <c r="M1" s="666"/>
      <c r="N1" s="666" t="s">
        <v>637</v>
      </c>
      <c r="O1" s="185"/>
      <c r="P1" s="185"/>
      <c r="Q1" s="185"/>
      <c r="R1" s="185"/>
    </row>
    <row r="2" spans="1:18">
      <c r="A2" s="185"/>
      <c r="B2" s="822"/>
      <c r="C2" s="671"/>
      <c r="D2" s="1920" t="s">
        <v>638</v>
      </c>
      <c r="E2" s="1920"/>
      <c r="F2" s="1920"/>
      <c r="G2" s="1920"/>
      <c r="H2" s="1920"/>
      <c r="I2" s="2029"/>
      <c r="J2" s="2029"/>
      <c r="K2" s="2029"/>
      <c r="L2" s="1248"/>
      <c r="M2" s="666"/>
      <c r="N2" s="666" t="s">
        <v>525</v>
      </c>
      <c r="O2" s="185"/>
      <c r="P2" s="185"/>
      <c r="Q2" s="185"/>
      <c r="R2" s="185"/>
    </row>
    <row r="3" spans="1:18">
      <c r="A3" s="185"/>
      <c r="B3" s="1249"/>
      <c r="C3" s="671"/>
      <c r="D3" s="2026" t="str">
        <f>CONCATENATE("Estimated for Test Year ",TestYear)</f>
        <v>Estimated for Test Year 2015</v>
      </c>
      <c r="E3" s="2026"/>
      <c r="F3" s="2026"/>
      <c r="G3" s="2026"/>
      <c r="H3" s="2026"/>
      <c r="I3" s="2015"/>
      <c r="J3" s="2015"/>
      <c r="K3" s="2015"/>
      <c r="L3" s="1250"/>
      <c r="M3" s="666"/>
      <c r="N3" s="185"/>
      <c r="O3" s="185"/>
      <c r="P3" s="185"/>
      <c r="Q3" s="185"/>
      <c r="R3" s="185"/>
    </row>
    <row r="4" spans="1:18" ht="13.5" thickBot="1">
      <c r="A4" s="185"/>
      <c r="B4" s="1249"/>
      <c r="C4" s="671"/>
      <c r="D4" s="2027" t="s">
        <v>639</v>
      </c>
      <c r="E4" s="2027"/>
      <c r="F4" s="2027"/>
      <c r="G4" s="2027"/>
      <c r="H4" s="2027"/>
      <c r="I4" s="2027"/>
      <c r="J4" s="2027"/>
      <c r="K4" s="2027"/>
      <c r="L4" s="1250"/>
      <c r="M4" s="666"/>
      <c r="N4" s="185"/>
      <c r="O4" s="185"/>
      <c r="P4" s="185"/>
      <c r="Q4" s="185"/>
      <c r="R4" s="185"/>
    </row>
    <row r="5" spans="1:18" ht="10.9" customHeight="1" thickTop="1">
      <c r="A5" s="185"/>
      <c r="B5" s="1224"/>
      <c r="C5" s="1042"/>
      <c r="D5" s="1225"/>
      <c r="E5" s="1225"/>
      <c r="F5" s="1225"/>
      <c r="G5" s="1225"/>
      <c r="H5" s="1225"/>
      <c r="I5" s="1225"/>
      <c r="J5" s="1225"/>
      <c r="K5" s="1226"/>
      <c r="L5" s="1226"/>
      <c r="M5" s="1043"/>
      <c r="N5" s="368"/>
      <c r="O5" s="185"/>
      <c r="P5" s="185"/>
      <c r="Q5" s="185"/>
      <c r="R5" s="185"/>
    </row>
    <row r="6" spans="1:18" ht="15" customHeight="1">
      <c r="A6" s="185"/>
      <c r="B6" s="700"/>
      <c r="C6" s="673"/>
      <c r="D6" s="1242" t="s">
        <v>8</v>
      </c>
      <c r="E6" s="2030"/>
      <c r="F6" s="2030"/>
      <c r="G6" s="2030"/>
      <c r="H6" s="2030"/>
      <c r="I6" s="2030"/>
      <c r="J6" s="2030"/>
      <c r="K6" s="2030"/>
      <c r="L6" s="2030"/>
      <c r="M6" s="2030"/>
      <c r="N6" s="370"/>
      <c r="O6" s="185"/>
      <c r="P6" s="185"/>
      <c r="Q6" s="185"/>
      <c r="R6" s="185"/>
    </row>
    <row r="7" spans="1:18" ht="12.75" customHeight="1">
      <c r="A7" s="185"/>
      <c r="B7" s="700"/>
      <c r="C7" s="1223"/>
      <c r="D7" s="1242" t="s">
        <v>640</v>
      </c>
      <c r="E7" s="1243"/>
      <c r="F7" s="1244"/>
      <c r="G7" s="1231"/>
      <c r="H7" s="945" t="str">
        <f>Data!H5</f>
        <v>Estimated</v>
      </c>
      <c r="I7" s="2031" t="str">
        <f>CONCATENATE("Estimate ",TestYear)</f>
        <v>Estimate 2015</v>
      </c>
      <c r="J7" s="2031"/>
      <c r="K7" s="2031" t="e">
        <f>CONCATENATE(Attach7!L8," ",#REF!-1)</f>
        <v>#REF!</v>
      </c>
      <c r="L7" s="2031"/>
      <c r="M7" s="941" t="s">
        <v>641</v>
      </c>
      <c r="N7" s="370"/>
      <c r="O7" s="185"/>
      <c r="P7" s="185"/>
      <c r="Q7" s="185"/>
      <c r="R7" s="185"/>
    </row>
    <row r="8" spans="1:18">
      <c r="A8" s="185"/>
      <c r="B8" s="702" t="s">
        <v>528</v>
      </c>
      <c r="C8" s="673" t="s">
        <v>578</v>
      </c>
      <c r="D8" s="945" t="s">
        <v>642</v>
      </c>
      <c r="E8" s="2028" t="str">
        <f>CONCATENATE(Data!H5, " ",TestYear-1)</f>
        <v>Estimated 2014</v>
      </c>
      <c r="F8" s="2028"/>
      <c r="G8" s="1246"/>
      <c r="H8" s="804" t="s">
        <v>579</v>
      </c>
      <c r="I8" s="2023" t="s">
        <v>580</v>
      </c>
      <c r="J8" s="2023"/>
      <c r="K8" s="2023" t="s">
        <v>581</v>
      </c>
      <c r="L8" s="2024"/>
      <c r="M8" s="803" t="s">
        <v>579</v>
      </c>
      <c r="N8" s="370"/>
      <c r="O8" s="185"/>
      <c r="P8" s="185"/>
      <c r="Q8" s="185"/>
      <c r="R8" s="185"/>
    </row>
    <row r="9" spans="1:18" ht="15" customHeight="1">
      <c r="A9" s="185"/>
      <c r="B9" s="702" t="s">
        <v>529</v>
      </c>
      <c r="C9" s="945" t="s">
        <v>576</v>
      </c>
      <c r="D9" s="1245" t="str">
        <f>CONCATENATE("12/31/",TestYear-2)</f>
        <v>12/31/2013</v>
      </c>
      <c r="E9" s="864" t="s">
        <v>582</v>
      </c>
      <c r="F9" s="865" t="s">
        <v>583</v>
      </c>
      <c r="G9" s="864" t="s">
        <v>584</v>
      </c>
      <c r="H9" s="804" t="str">
        <f>CONCATENATE("12/31/",TestYear-1)</f>
        <v>12/31/2014</v>
      </c>
      <c r="I9" s="865" t="s">
        <v>582</v>
      </c>
      <c r="J9" s="864" t="s">
        <v>583</v>
      </c>
      <c r="K9" s="864" t="s">
        <v>582</v>
      </c>
      <c r="L9" s="864" t="s">
        <v>583</v>
      </c>
      <c r="M9" s="803" t="str">
        <f>CONCATENATE("12/31/",TestYear)</f>
        <v>12/31/2015</v>
      </c>
      <c r="N9" s="370"/>
      <c r="O9" s="185"/>
      <c r="P9" s="185"/>
      <c r="Q9" s="185"/>
      <c r="R9" s="185"/>
    </row>
    <row r="10" spans="1:18">
      <c r="A10" s="185"/>
      <c r="B10" s="1032" t="s">
        <v>530</v>
      </c>
      <c r="C10" s="1232"/>
      <c r="D10" s="1006" t="s">
        <v>531</v>
      </c>
      <c r="E10" s="1233" t="s">
        <v>643</v>
      </c>
      <c r="F10" s="1015"/>
      <c r="G10" s="1015"/>
      <c r="H10" s="1015" t="s">
        <v>531</v>
      </c>
      <c r="I10" s="1233" t="s">
        <v>643</v>
      </c>
      <c r="J10" s="1015"/>
      <c r="K10" s="1233" t="s">
        <v>643</v>
      </c>
      <c r="L10" s="1015"/>
      <c r="M10" s="1018" t="s">
        <v>531</v>
      </c>
      <c r="N10" s="370"/>
      <c r="O10" s="185"/>
      <c r="P10" s="185"/>
      <c r="Q10" s="185"/>
      <c r="R10" s="185"/>
    </row>
    <row r="11" spans="1:18">
      <c r="A11" s="185"/>
      <c r="B11" s="702"/>
      <c r="C11" s="736" t="s">
        <v>588</v>
      </c>
      <c r="D11" s="719"/>
      <c r="E11" s="673"/>
      <c r="F11" s="673"/>
      <c r="G11" s="673"/>
      <c r="H11" s="673"/>
      <c r="I11" s="673"/>
      <c r="J11" s="673"/>
      <c r="K11" s="673"/>
      <c r="L11" s="673"/>
      <c r="M11" s="673"/>
      <c r="N11" s="699"/>
      <c r="O11" s="185"/>
      <c r="P11" s="185"/>
      <c r="Q11" s="185"/>
      <c r="R11" s="185"/>
    </row>
    <row r="12" spans="1:18">
      <c r="A12" s="185"/>
      <c r="B12" s="702">
        <v>301</v>
      </c>
      <c r="C12" s="673" t="s">
        <v>589</v>
      </c>
      <c r="D12" s="920">
        <f>Data!B178</f>
        <v>0</v>
      </c>
      <c r="E12" s="738">
        <f>Data!C178</f>
        <v>0</v>
      </c>
      <c r="F12" s="738">
        <f>Data!D178</f>
        <v>0</v>
      </c>
      <c r="G12" s="1234">
        <v>0</v>
      </c>
      <c r="H12" s="920">
        <f>SUM(D12:E12)-F12+G12</f>
        <v>0</v>
      </c>
      <c r="I12" s="1234">
        <v>0</v>
      </c>
      <c r="J12" s="1234">
        <v>0</v>
      </c>
      <c r="K12" s="1234">
        <v>0</v>
      </c>
      <c r="L12" s="1234">
        <v>0</v>
      </c>
      <c r="M12" s="920">
        <f>H12+I12-J12+K12-L12</f>
        <v>0</v>
      </c>
      <c r="N12" s="699"/>
      <c r="O12" s="185"/>
      <c r="P12" s="185"/>
      <c r="Q12" s="185"/>
      <c r="R12" s="185"/>
    </row>
    <row r="13" spans="1:18">
      <c r="A13" s="185"/>
      <c r="B13" s="702">
        <v>302</v>
      </c>
      <c r="C13" s="673" t="s">
        <v>590</v>
      </c>
      <c r="D13" s="674">
        <f>Data!B179</f>
        <v>0</v>
      </c>
      <c r="E13" s="676">
        <f>Data!C179</f>
        <v>0</v>
      </c>
      <c r="F13" s="676">
        <f>Data!D179</f>
        <v>0</v>
      </c>
      <c r="G13" s="1235">
        <v>0</v>
      </c>
      <c r="H13" s="674">
        <f>SUM(D13:E13)-F13+G13</f>
        <v>0</v>
      </c>
      <c r="I13" s="1235">
        <v>0</v>
      </c>
      <c r="J13" s="1235">
        <v>0</v>
      </c>
      <c r="K13" s="1235">
        <v>0</v>
      </c>
      <c r="L13" s="1235">
        <v>0</v>
      </c>
      <c r="M13" s="674">
        <f>H13+I13-J13+K13-L13</f>
        <v>0</v>
      </c>
      <c r="N13" s="699"/>
      <c r="O13" s="185"/>
      <c r="P13" s="185"/>
      <c r="Q13" s="185"/>
      <c r="R13" s="185"/>
    </row>
    <row r="14" spans="1:18">
      <c r="A14" s="185"/>
      <c r="B14" s="702">
        <v>303</v>
      </c>
      <c r="C14" s="673" t="s">
        <v>591</v>
      </c>
      <c r="D14" s="675">
        <f>Data!B180</f>
        <v>0</v>
      </c>
      <c r="E14" s="1011">
        <f>Data!C180</f>
        <v>0</v>
      </c>
      <c r="F14" s="1011">
        <f>Data!D180</f>
        <v>0</v>
      </c>
      <c r="G14" s="1235">
        <v>0</v>
      </c>
      <c r="H14" s="675">
        <f>SUM(D14:E14)-F14+G14</f>
        <v>0</v>
      </c>
      <c r="I14" s="1235">
        <v>0</v>
      </c>
      <c r="J14" s="1235">
        <v>0</v>
      </c>
      <c r="K14" s="1235">
        <v>0</v>
      </c>
      <c r="L14" s="1235">
        <v>0</v>
      </c>
      <c r="M14" s="674">
        <f>H14+I14-J14+K14-L14</f>
        <v>0</v>
      </c>
      <c r="N14" s="699"/>
      <c r="O14" s="185"/>
      <c r="P14" s="185"/>
      <c r="Q14" s="185"/>
      <c r="R14" s="185"/>
    </row>
    <row r="15" spans="1:18">
      <c r="A15" s="185"/>
      <c r="B15" s="702"/>
      <c r="C15" s="673"/>
      <c r="D15" s="719"/>
      <c r="E15" s="673"/>
      <c r="F15" s="673"/>
      <c r="G15" s="673"/>
      <c r="H15" s="1236"/>
      <c r="I15" s="673"/>
      <c r="J15" s="673"/>
      <c r="K15" s="673"/>
      <c r="L15" s="673"/>
      <c r="M15" s="1236"/>
      <c r="N15" s="699"/>
      <c r="O15" s="185"/>
      <c r="P15" s="185"/>
      <c r="Q15" s="185"/>
      <c r="R15" s="185"/>
    </row>
    <row r="16" spans="1:18">
      <c r="A16" s="185"/>
      <c r="B16" s="702"/>
      <c r="C16" s="673" t="s">
        <v>592</v>
      </c>
      <c r="D16" s="935">
        <f t="shared" ref="D16:M16" si="0">SUM(D12:D14)</f>
        <v>0</v>
      </c>
      <c r="E16" s="935">
        <f t="shared" si="0"/>
        <v>0</v>
      </c>
      <c r="F16" s="935">
        <f t="shared" si="0"/>
        <v>0</v>
      </c>
      <c r="G16" s="935">
        <f t="shared" si="0"/>
        <v>0</v>
      </c>
      <c r="H16" s="935">
        <f t="shared" si="0"/>
        <v>0</v>
      </c>
      <c r="I16" s="935">
        <f t="shared" si="0"/>
        <v>0</v>
      </c>
      <c r="J16" s="935">
        <f t="shared" si="0"/>
        <v>0</v>
      </c>
      <c r="K16" s="935">
        <f t="shared" si="0"/>
        <v>0</v>
      </c>
      <c r="L16" s="935">
        <f t="shared" si="0"/>
        <v>0</v>
      </c>
      <c r="M16" s="935">
        <f t="shared" si="0"/>
        <v>0</v>
      </c>
      <c r="N16" s="699"/>
      <c r="O16" s="185"/>
      <c r="P16" s="185"/>
      <c r="Q16" s="185"/>
      <c r="R16" s="185"/>
    </row>
    <row r="17" spans="1:18">
      <c r="A17" s="185"/>
      <c r="B17" s="702"/>
      <c r="C17" s="673"/>
      <c r="D17" s="719" t="s">
        <v>593</v>
      </c>
      <c r="E17" s="673" t="s">
        <v>593</v>
      </c>
      <c r="F17" s="673" t="s">
        <v>593</v>
      </c>
      <c r="G17" s="673"/>
      <c r="H17" s="673" t="s">
        <v>593</v>
      </c>
      <c r="I17" s="1237"/>
      <c r="J17" s="1237"/>
      <c r="K17" s="673" t="s">
        <v>593</v>
      </c>
      <c r="L17" s="673" t="s">
        <v>593</v>
      </c>
      <c r="M17" s="673" t="s">
        <v>593</v>
      </c>
      <c r="N17" s="699"/>
      <c r="O17" s="185"/>
      <c r="P17" s="185"/>
      <c r="Q17" s="185"/>
      <c r="R17" s="185"/>
    </row>
    <row r="18" spans="1:18">
      <c r="A18" s="185"/>
      <c r="B18" s="702"/>
      <c r="C18" s="736" t="s">
        <v>594</v>
      </c>
      <c r="D18" s="674"/>
      <c r="E18" s="676" t="s">
        <v>342</v>
      </c>
      <c r="F18" s="676" t="s">
        <v>342</v>
      </c>
      <c r="G18" s="676"/>
      <c r="H18" s="1029" t="s">
        <v>342</v>
      </c>
      <c r="I18" s="1029"/>
      <c r="J18" s="1029"/>
      <c r="K18" s="676" t="s">
        <v>342</v>
      </c>
      <c r="L18" s="676" t="s">
        <v>342</v>
      </c>
      <c r="M18" s="1029" t="s">
        <v>342</v>
      </c>
      <c r="N18" s="699"/>
      <c r="O18" s="185"/>
      <c r="P18" s="185"/>
      <c r="Q18" s="185"/>
      <c r="R18" s="185"/>
    </row>
    <row r="19" spans="1:18">
      <c r="A19" s="185"/>
      <c r="B19" s="702">
        <v>310</v>
      </c>
      <c r="C19" s="673" t="s">
        <v>595</v>
      </c>
      <c r="D19" s="920">
        <f>Data!B181</f>
        <v>0</v>
      </c>
      <c r="E19" s="738">
        <f>Data!C181</f>
        <v>0</v>
      </c>
      <c r="F19" s="738">
        <f>Data!D181</f>
        <v>0</v>
      </c>
      <c r="G19" s="1234">
        <v>0</v>
      </c>
      <c r="H19" s="920">
        <f t="shared" ref="H19:H25" si="1">SUM(D19:E19)-F19+G19</f>
        <v>0</v>
      </c>
      <c r="I19" s="1234">
        <v>0</v>
      </c>
      <c r="J19" s="1234">
        <v>0</v>
      </c>
      <c r="K19" s="1234">
        <v>0</v>
      </c>
      <c r="L19" s="1234">
        <v>0</v>
      </c>
      <c r="M19" s="920">
        <f t="shared" ref="M19:M25" si="2">H19+I19-J19+K19-L19</f>
        <v>0</v>
      </c>
      <c r="N19" s="699"/>
      <c r="O19" s="185"/>
      <c r="P19" s="185"/>
      <c r="Q19" s="185"/>
      <c r="R19" s="185"/>
    </row>
    <row r="20" spans="1:18">
      <c r="A20" s="185"/>
      <c r="B20" s="702">
        <v>311</v>
      </c>
      <c r="C20" s="673" t="s">
        <v>596</v>
      </c>
      <c r="D20" s="674">
        <f>Data!B182</f>
        <v>0</v>
      </c>
      <c r="E20" s="676">
        <f>Data!C182</f>
        <v>0</v>
      </c>
      <c r="F20" s="676">
        <f>Data!D182</f>
        <v>0</v>
      </c>
      <c r="G20" s="1235">
        <v>0</v>
      </c>
      <c r="H20" s="674">
        <f t="shared" si="1"/>
        <v>0</v>
      </c>
      <c r="I20" s="1235">
        <v>0</v>
      </c>
      <c r="J20" s="1235">
        <v>0</v>
      </c>
      <c r="K20" s="1235">
        <v>0</v>
      </c>
      <c r="L20" s="1235">
        <v>0</v>
      </c>
      <c r="M20" s="674">
        <f t="shared" si="2"/>
        <v>0</v>
      </c>
      <c r="N20" s="699"/>
      <c r="O20" s="185"/>
      <c r="P20" s="185"/>
      <c r="Q20" s="185"/>
      <c r="R20" s="185"/>
    </row>
    <row r="21" spans="1:18">
      <c r="A21" s="185"/>
      <c r="B21" s="702">
        <v>312</v>
      </c>
      <c r="C21" s="673" t="s">
        <v>597</v>
      </c>
      <c r="D21" s="674">
        <f>Data!B183</f>
        <v>0</v>
      </c>
      <c r="E21" s="676">
        <f>Data!C183</f>
        <v>0</v>
      </c>
      <c r="F21" s="676">
        <f>Data!D183</f>
        <v>0</v>
      </c>
      <c r="G21" s="1235">
        <v>0</v>
      </c>
      <c r="H21" s="674">
        <f t="shared" si="1"/>
        <v>0</v>
      </c>
      <c r="I21" s="1235">
        <v>0</v>
      </c>
      <c r="J21" s="1235">
        <v>0</v>
      </c>
      <c r="K21" s="1235">
        <v>0</v>
      </c>
      <c r="L21" s="1235">
        <v>0</v>
      </c>
      <c r="M21" s="674">
        <f t="shared" si="2"/>
        <v>0</v>
      </c>
      <c r="N21" s="699"/>
      <c r="O21" s="185"/>
      <c r="P21" s="185"/>
      <c r="Q21" s="185"/>
      <c r="R21" s="185"/>
    </row>
    <row r="22" spans="1:18">
      <c r="A22" s="185"/>
      <c r="B22" s="702">
        <v>313</v>
      </c>
      <c r="C22" s="673" t="s">
        <v>598</v>
      </c>
      <c r="D22" s="674">
        <f>Data!B184</f>
        <v>0</v>
      </c>
      <c r="E22" s="676">
        <f>Data!C184</f>
        <v>0</v>
      </c>
      <c r="F22" s="676">
        <f>Data!D184</f>
        <v>0</v>
      </c>
      <c r="G22" s="1235">
        <v>0</v>
      </c>
      <c r="H22" s="674">
        <f t="shared" si="1"/>
        <v>0</v>
      </c>
      <c r="I22" s="1235">
        <v>0</v>
      </c>
      <c r="J22" s="1235">
        <v>0</v>
      </c>
      <c r="K22" s="1235">
        <v>0</v>
      </c>
      <c r="L22" s="1235">
        <v>0</v>
      </c>
      <c r="M22" s="674">
        <f t="shared" si="2"/>
        <v>0</v>
      </c>
      <c r="N22" s="699"/>
      <c r="O22" s="185"/>
      <c r="P22" s="185"/>
      <c r="Q22" s="185"/>
      <c r="R22" s="185"/>
    </row>
    <row r="23" spans="1:18">
      <c r="A23" s="185"/>
      <c r="B23" s="702">
        <v>314</v>
      </c>
      <c r="C23" s="673" t="s">
        <v>599</v>
      </c>
      <c r="D23" s="674">
        <f>Data!B185</f>
        <v>0</v>
      </c>
      <c r="E23" s="676">
        <f>Data!C185</f>
        <v>0</v>
      </c>
      <c r="F23" s="676">
        <f>Data!D185</f>
        <v>0</v>
      </c>
      <c r="G23" s="1235">
        <v>0</v>
      </c>
      <c r="H23" s="674">
        <f t="shared" si="1"/>
        <v>0</v>
      </c>
      <c r="I23" s="1235">
        <v>0</v>
      </c>
      <c r="J23" s="1235">
        <v>0</v>
      </c>
      <c r="K23" s="1235">
        <v>0</v>
      </c>
      <c r="L23" s="1235">
        <v>0</v>
      </c>
      <c r="M23" s="674">
        <f t="shared" si="2"/>
        <v>0</v>
      </c>
      <c r="N23" s="699"/>
      <c r="O23" s="185"/>
      <c r="P23" s="185"/>
      <c r="Q23" s="185"/>
      <c r="R23" s="185"/>
    </row>
    <row r="24" spans="1:18">
      <c r="A24" s="185"/>
      <c r="B24" s="702">
        <v>316</v>
      </c>
      <c r="C24" s="673" t="s">
        <v>600</v>
      </c>
      <c r="D24" s="674">
        <f>Data!B186</f>
        <v>0</v>
      </c>
      <c r="E24" s="676">
        <f>Data!C186</f>
        <v>0</v>
      </c>
      <c r="F24" s="676">
        <f>Data!D186</f>
        <v>0</v>
      </c>
      <c r="G24" s="1235">
        <v>0</v>
      </c>
      <c r="H24" s="674">
        <f t="shared" si="1"/>
        <v>0</v>
      </c>
      <c r="I24" s="1235">
        <v>0</v>
      </c>
      <c r="J24" s="1235">
        <v>0</v>
      </c>
      <c r="K24" s="1235">
        <v>0</v>
      </c>
      <c r="L24" s="1235">
        <v>0</v>
      </c>
      <c r="M24" s="674">
        <f t="shared" si="2"/>
        <v>0</v>
      </c>
      <c r="N24" s="699"/>
      <c r="O24" s="185"/>
      <c r="P24" s="185"/>
      <c r="Q24" s="185"/>
      <c r="R24" s="185"/>
    </row>
    <row r="25" spans="1:18">
      <c r="A25" s="185"/>
      <c r="B25" s="702">
        <v>317</v>
      </c>
      <c r="C25" s="673" t="s">
        <v>601</v>
      </c>
      <c r="D25" s="675">
        <f>Data!B187</f>
        <v>0</v>
      </c>
      <c r="E25" s="922">
        <f>Data!C187</f>
        <v>0</v>
      </c>
      <c r="F25" s="922">
        <f>Data!D187</f>
        <v>0</v>
      </c>
      <c r="G25" s="1235">
        <v>0</v>
      </c>
      <c r="H25" s="674">
        <f t="shared" si="1"/>
        <v>0</v>
      </c>
      <c r="I25" s="1235">
        <v>0</v>
      </c>
      <c r="J25" s="1235">
        <v>0</v>
      </c>
      <c r="K25" s="1235">
        <v>0</v>
      </c>
      <c r="L25" s="1235">
        <v>0</v>
      </c>
      <c r="M25" s="674">
        <f t="shared" si="2"/>
        <v>0</v>
      </c>
      <c r="N25" s="699"/>
      <c r="O25" s="185"/>
      <c r="P25" s="185"/>
      <c r="Q25" s="185"/>
      <c r="R25" s="185"/>
    </row>
    <row r="26" spans="1:18">
      <c r="A26" s="185"/>
      <c r="B26" s="702"/>
      <c r="C26" s="673"/>
      <c r="D26" s="719"/>
      <c r="E26" s="673"/>
      <c r="F26" s="673"/>
      <c r="G26" s="673"/>
      <c r="H26" s="1236"/>
      <c r="I26" s="673"/>
      <c r="J26" s="673"/>
      <c r="K26" s="673"/>
      <c r="L26" s="673"/>
      <c r="M26" s="1236"/>
      <c r="N26" s="699"/>
      <c r="O26" s="185"/>
      <c r="P26" s="185"/>
      <c r="Q26" s="185"/>
      <c r="R26" s="185"/>
    </row>
    <row r="27" spans="1:18">
      <c r="A27" s="185"/>
      <c r="B27" s="702"/>
      <c r="C27" s="673" t="s">
        <v>602</v>
      </c>
      <c r="D27" s="935">
        <f t="shared" ref="D27:M27" si="3">SUM(D19:D25)</f>
        <v>0</v>
      </c>
      <c r="E27" s="935">
        <f t="shared" si="3"/>
        <v>0</v>
      </c>
      <c r="F27" s="935">
        <f t="shared" si="3"/>
        <v>0</v>
      </c>
      <c r="G27" s="935">
        <f t="shared" si="3"/>
        <v>0</v>
      </c>
      <c r="H27" s="935">
        <f t="shared" si="3"/>
        <v>0</v>
      </c>
      <c r="I27" s="935">
        <f t="shared" si="3"/>
        <v>0</v>
      </c>
      <c r="J27" s="935">
        <f t="shared" si="3"/>
        <v>0</v>
      </c>
      <c r="K27" s="935">
        <f t="shared" si="3"/>
        <v>0</v>
      </c>
      <c r="L27" s="935">
        <f t="shared" si="3"/>
        <v>0</v>
      </c>
      <c r="M27" s="935">
        <f t="shared" si="3"/>
        <v>0</v>
      </c>
      <c r="N27" s="699"/>
      <c r="O27" s="185"/>
      <c r="P27" s="185"/>
      <c r="Q27" s="185"/>
      <c r="R27" s="185"/>
    </row>
    <row r="28" spans="1:18">
      <c r="A28" s="185"/>
      <c r="B28" s="702"/>
      <c r="C28" s="673"/>
      <c r="D28" s="719" t="s">
        <v>593</v>
      </c>
      <c r="E28" s="673" t="s">
        <v>593</v>
      </c>
      <c r="F28" s="673" t="s">
        <v>593</v>
      </c>
      <c r="G28" s="673"/>
      <c r="H28" s="673" t="s">
        <v>593</v>
      </c>
      <c r="I28" s="1237"/>
      <c r="J28" s="1237"/>
      <c r="K28" s="673" t="s">
        <v>593</v>
      </c>
      <c r="L28" s="673" t="s">
        <v>593</v>
      </c>
      <c r="M28" s="673" t="s">
        <v>593</v>
      </c>
      <c r="N28" s="699"/>
      <c r="O28" s="185"/>
      <c r="P28" s="185"/>
      <c r="Q28" s="185"/>
      <c r="R28" s="185"/>
    </row>
    <row r="29" spans="1:18">
      <c r="A29" s="185"/>
      <c r="B29" s="702"/>
      <c r="C29" s="736" t="s">
        <v>603</v>
      </c>
      <c r="D29" s="674" t="s">
        <v>342</v>
      </c>
      <c r="E29" s="676" t="s">
        <v>342</v>
      </c>
      <c r="F29" s="676" t="s">
        <v>342</v>
      </c>
      <c r="G29" s="676"/>
      <c r="H29" s="676" t="s">
        <v>342</v>
      </c>
      <c r="I29" s="1238"/>
      <c r="J29" s="1238"/>
      <c r="K29" s="676" t="s">
        <v>342</v>
      </c>
      <c r="L29" s="676" t="s">
        <v>342</v>
      </c>
      <c r="M29" s="676" t="s">
        <v>342</v>
      </c>
      <c r="N29" s="699"/>
      <c r="O29" s="185"/>
      <c r="P29" s="185"/>
      <c r="Q29" s="185"/>
      <c r="R29" s="185"/>
    </row>
    <row r="30" spans="1:18">
      <c r="A30" s="185"/>
      <c r="B30" s="702">
        <v>320</v>
      </c>
      <c r="C30" s="673" t="s">
        <v>595</v>
      </c>
      <c r="D30" s="920">
        <f>Data!B188</f>
        <v>0</v>
      </c>
      <c r="E30" s="738">
        <f>Data!C188</f>
        <v>0</v>
      </c>
      <c r="F30" s="738">
        <f>Data!D188</f>
        <v>0</v>
      </c>
      <c r="G30" s="1234">
        <v>0</v>
      </c>
      <c r="H30" s="920">
        <f t="shared" ref="H30:H35" si="4">SUM(D30:E30)-F30+G30</f>
        <v>0</v>
      </c>
      <c r="I30" s="1234">
        <v>0</v>
      </c>
      <c r="J30" s="1234">
        <v>0</v>
      </c>
      <c r="K30" s="1234">
        <v>0</v>
      </c>
      <c r="L30" s="1234">
        <v>0</v>
      </c>
      <c r="M30" s="920">
        <f t="shared" ref="M30:M35" si="5">H30+I30-J30+K30-L30</f>
        <v>0</v>
      </c>
      <c r="N30" s="699"/>
      <c r="O30" s="185"/>
      <c r="P30" s="185"/>
      <c r="Q30" s="185"/>
      <c r="R30" s="185"/>
    </row>
    <row r="31" spans="1:18">
      <c r="A31" s="185"/>
      <c r="B31" s="702">
        <v>321</v>
      </c>
      <c r="C31" s="673" t="s">
        <v>596</v>
      </c>
      <c r="D31" s="674">
        <f>Data!B189</f>
        <v>261983</v>
      </c>
      <c r="E31" s="676">
        <f>Data!C189</f>
        <v>0</v>
      </c>
      <c r="F31" s="676">
        <f>Data!D189</f>
        <v>0</v>
      </c>
      <c r="G31" s="1235">
        <v>0</v>
      </c>
      <c r="H31" s="674">
        <f t="shared" si="4"/>
        <v>261983</v>
      </c>
      <c r="I31" s="1235">
        <v>0</v>
      </c>
      <c r="J31" s="1235">
        <v>0</v>
      </c>
      <c r="K31" s="1235">
        <v>0</v>
      </c>
      <c r="L31" s="1235">
        <v>0</v>
      </c>
      <c r="M31" s="674">
        <f t="shared" si="5"/>
        <v>261983</v>
      </c>
      <c r="N31" s="699"/>
      <c r="O31" s="185"/>
      <c r="P31" s="185"/>
      <c r="Q31" s="185"/>
      <c r="R31" s="185"/>
    </row>
    <row r="32" spans="1:18">
      <c r="A32" s="185"/>
      <c r="B32" s="702">
        <v>323</v>
      </c>
      <c r="C32" s="673" t="s">
        <v>604</v>
      </c>
      <c r="D32" s="674">
        <f>Data!B190</f>
        <v>0</v>
      </c>
      <c r="E32" s="676">
        <f>Data!C190</f>
        <v>0</v>
      </c>
      <c r="F32" s="676">
        <f>Data!D190</f>
        <v>0</v>
      </c>
      <c r="G32" s="1235">
        <v>0</v>
      </c>
      <c r="H32" s="674">
        <f t="shared" si="4"/>
        <v>0</v>
      </c>
      <c r="I32" s="1235">
        <v>0</v>
      </c>
      <c r="J32" s="1235">
        <v>0</v>
      </c>
      <c r="K32" s="1235">
        <v>0</v>
      </c>
      <c r="L32" s="1235">
        <v>0</v>
      </c>
      <c r="M32" s="674">
        <f t="shared" si="5"/>
        <v>0</v>
      </c>
      <c r="N32" s="699"/>
      <c r="O32" s="185"/>
      <c r="P32" s="185"/>
      <c r="Q32" s="185"/>
      <c r="R32" s="185"/>
    </row>
    <row r="33" spans="1:18">
      <c r="A33" s="185"/>
      <c r="B33" s="702">
        <v>325</v>
      </c>
      <c r="C33" s="673" t="s">
        <v>605</v>
      </c>
      <c r="D33" s="674">
        <f>Data!B191</f>
        <v>192652</v>
      </c>
      <c r="E33" s="676">
        <f>Data!C191</f>
        <v>0</v>
      </c>
      <c r="F33" s="676">
        <f>Data!D191</f>
        <v>0</v>
      </c>
      <c r="G33" s="1235">
        <v>0</v>
      </c>
      <c r="H33" s="674">
        <f t="shared" si="4"/>
        <v>192652</v>
      </c>
      <c r="I33" s="1235">
        <v>0</v>
      </c>
      <c r="J33" s="1235">
        <v>0</v>
      </c>
      <c r="K33" s="1235">
        <v>0</v>
      </c>
      <c r="L33" s="1235">
        <v>0</v>
      </c>
      <c r="M33" s="674">
        <f t="shared" si="5"/>
        <v>192652</v>
      </c>
      <c r="N33" s="699"/>
      <c r="O33" s="185"/>
      <c r="P33" s="185"/>
      <c r="Q33" s="185"/>
      <c r="R33" s="185"/>
    </row>
    <row r="34" spans="1:18">
      <c r="A34" s="185"/>
      <c r="B34" s="702">
        <v>326</v>
      </c>
      <c r="C34" s="673" t="s">
        <v>606</v>
      </c>
      <c r="D34" s="674">
        <f>Data!B192</f>
        <v>0</v>
      </c>
      <c r="E34" s="676">
        <f>Data!C192</f>
        <v>0</v>
      </c>
      <c r="F34" s="676">
        <f>Data!D192</f>
        <v>0</v>
      </c>
      <c r="G34" s="1235">
        <v>0</v>
      </c>
      <c r="H34" s="674">
        <f t="shared" si="4"/>
        <v>0</v>
      </c>
      <c r="I34" s="1235">
        <v>0</v>
      </c>
      <c r="J34" s="1235">
        <v>0</v>
      </c>
      <c r="K34" s="1235">
        <v>0</v>
      </c>
      <c r="L34" s="1235">
        <v>0</v>
      </c>
      <c r="M34" s="674">
        <f t="shared" si="5"/>
        <v>0</v>
      </c>
      <c r="N34" s="699"/>
      <c r="O34" s="185"/>
      <c r="P34" s="185"/>
      <c r="Q34" s="185"/>
      <c r="R34" s="185"/>
    </row>
    <row r="35" spans="1:18">
      <c r="A35" s="185"/>
      <c r="B35" s="702">
        <v>328</v>
      </c>
      <c r="C35" s="673" t="s">
        <v>607</v>
      </c>
      <c r="D35" s="675">
        <f>Data!B193</f>
        <v>0</v>
      </c>
      <c r="E35" s="922">
        <f>Data!C193</f>
        <v>0</v>
      </c>
      <c r="F35" s="922">
        <f>Data!D193</f>
        <v>0</v>
      </c>
      <c r="G35" s="1235">
        <v>0</v>
      </c>
      <c r="H35" s="674">
        <f t="shared" si="4"/>
        <v>0</v>
      </c>
      <c r="I35" s="1235">
        <v>0</v>
      </c>
      <c r="J35" s="1235">
        <v>0</v>
      </c>
      <c r="K35" s="1235">
        <v>0</v>
      </c>
      <c r="L35" s="1235">
        <v>0</v>
      </c>
      <c r="M35" s="674">
        <f t="shared" si="5"/>
        <v>0</v>
      </c>
      <c r="N35" s="699"/>
      <c r="O35" s="185"/>
      <c r="P35" s="185"/>
      <c r="Q35" s="185"/>
      <c r="R35" s="185"/>
    </row>
    <row r="36" spans="1:18">
      <c r="A36" s="185"/>
      <c r="B36" s="700"/>
      <c r="C36" s="673"/>
      <c r="D36" s="673"/>
      <c r="E36" s="673"/>
      <c r="F36" s="673"/>
      <c r="G36" s="673"/>
      <c r="H36" s="1236"/>
      <c r="I36" s="673"/>
      <c r="J36" s="673"/>
      <c r="K36" s="673"/>
      <c r="L36" s="673"/>
      <c r="M36" s="1236"/>
      <c r="N36" s="699"/>
      <c r="O36" s="185"/>
      <c r="P36" s="185"/>
      <c r="Q36" s="185"/>
      <c r="R36" s="185"/>
    </row>
    <row r="37" spans="1:18">
      <c r="A37" s="185"/>
      <c r="B37" s="700"/>
      <c r="C37" s="673" t="s">
        <v>608</v>
      </c>
      <c r="D37" s="935">
        <f t="shared" ref="D37:M37" si="6">SUM(D30:D35)</f>
        <v>454635</v>
      </c>
      <c r="E37" s="935">
        <f t="shared" si="6"/>
        <v>0</v>
      </c>
      <c r="F37" s="935">
        <f t="shared" si="6"/>
        <v>0</v>
      </c>
      <c r="G37" s="935">
        <f t="shared" si="6"/>
        <v>0</v>
      </c>
      <c r="H37" s="935">
        <f t="shared" si="6"/>
        <v>454635</v>
      </c>
      <c r="I37" s="935">
        <f t="shared" si="6"/>
        <v>0</v>
      </c>
      <c r="J37" s="935">
        <f t="shared" si="6"/>
        <v>0</v>
      </c>
      <c r="K37" s="935">
        <f t="shared" si="6"/>
        <v>0</v>
      </c>
      <c r="L37" s="935">
        <f t="shared" si="6"/>
        <v>0</v>
      </c>
      <c r="M37" s="935">
        <f t="shared" si="6"/>
        <v>454635</v>
      </c>
      <c r="N37" s="699"/>
      <c r="O37" s="185"/>
      <c r="P37" s="185"/>
      <c r="Q37" s="185"/>
      <c r="R37" s="185"/>
    </row>
    <row r="38" spans="1:18">
      <c r="A38" s="185"/>
      <c r="B38" s="700"/>
      <c r="C38" s="673"/>
      <c r="D38" s="738"/>
      <c r="E38" s="738"/>
      <c r="F38" s="738"/>
      <c r="G38" s="738"/>
      <c r="H38" s="738"/>
      <c r="I38" s="738"/>
      <c r="J38" s="738"/>
      <c r="K38" s="738"/>
      <c r="L38" s="738"/>
      <c r="M38" s="738"/>
      <c r="N38" s="699"/>
      <c r="O38" s="185"/>
      <c r="P38" s="185"/>
      <c r="Q38" s="185"/>
      <c r="R38" s="185"/>
    </row>
    <row r="39" spans="1:18">
      <c r="A39" s="185"/>
      <c r="B39" s="702"/>
      <c r="C39" s="736" t="s">
        <v>609</v>
      </c>
      <c r="D39" s="676" t="s">
        <v>342</v>
      </c>
      <c r="E39" s="676"/>
      <c r="F39" s="676"/>
      <c r="G39" s="676"/>
      <c r="H39" s="676"/>
      <c r="I39" s="676"/>
      <c r="J39" s="676"/>
      <c r="K39" s="676" t="s">
        <v>342</v>
      </c>
      <c r="L39" s="676" t="s">
        <v>342</v>
      </c>
      <c r="M39" s="676" t="s">
        <v>342</v>
      </c>
      <c r="N39" s="370"/>
      <c r="O39" s="185"/>
      <c r="P39" s="185"/>
      <c r="Q39" s="185"/>
      <c r="R39" s="185"/>
    </row>
    <row r="40" spans="1:18">
      <c r="A40" s="185"/>
      <c r="B40" s="702">
        <v>330</v>
      </c>
      <c r="C40" s="673" t="s">
        <v>595</v>
      </c>
      <c r="D40" s="920">
        <f>Data!B194</f>
        <v>0</v>
      </c>
      <c r="E40" s="738">
        <f>Data!C194</f>
        <v>0</v>
      </c>
      <c r="F40" s="738">
        <f>Data!D194</f>
        <v>0</v>
      </c>
      <c r="G40" s="1234">
        <v>0</v>
      </c>
      <c r="H40" s="920">
        <f>SUM(D40:E40)-F40+G40</f>
        <v>0</v>
      </c>
      <c r="I40" s="1234">
        <v>0</v>
      </c>
      <c r="J40" s="1234">
        <v>0</v>
      </c>
      <c r="K40" s="1234">
        <v>0</v>
      </c>
      <c r="L40" s="1234">
        <v>0</v>
      </c>
      <c r="M40" s="920">
        <f>H40+I40-J40+K40-L40</f>
        <v>0</v>
      </c>
      <c r="N40" s="370"/>
      <c r="O40" s="185"/>
      <c r="P40" s="185"/>
      <c r="Q40" s="185"/>
      <c r="R40" s="185"/>
    </row>
    <row r="41" spans="1:18">
      <c r="A41" s="185"/>
      <c r="B41" s="702">
        <v>331</v>
      </c>
      <c r="C41" s="673" t="s">
        <v>596</v>
      </c>
      <c r="D41" s="674">
        <f>Data!B195</f>
        <v>0</v>
      </c>
      <c r="E41" s="676">
        <f>Data!C195</f>
        <v>0</v>
      </c>
      <c r="F41" s="676">
        <f>Data!D195</f>
        <v>0</v>
      </c>
      <c r="G41" s="1235">
        <v>0</v>
      </c>
      <c r="H41" s="674">
        <f>SUM(D41:E41)-F41+G41</f>
        <v>0</v>
      </c>
      <c r="I41" s="1235">
        <v>0</v>
      </c>
      <c r="J41" s="1235">
        <v>0</v>
      </c>
      <c r="K41" s="1235">
        <v>0</v>
      </c>
      <c r="L41" s="1235">
        <v>0</v>
      </c>
      <c r="M41" s="674">
        <f>H41+I41-J41+K41-L41</f>
        <v>0</v>
      </c>
      <c r="N41" s="370"/>
      <c r="O41" s="185"/>
      <c r="P41" s="185"/>
      <c r="Q41" s="185"/>
      <c r="R41" s="185"/>
    </row>
    <row r="42" spans="1:18">
      <c r="A42" s="185"/>
      <c r="B42" s="702">
        <v>332</v>
      </c>
      <c r="C42" s="673" t="s">
        <v>644</v>
      </c>
      <c r="D42" s="674">
        <f>Data!B196</f>
        <v>0</v>
      </c>
      <c r="E42" s="676">
        <f>Data!C196</f>
        <v>0</v>
      </c>
      <c r="F42" s="676">
        <f>Data!D196</f>
        <v>0</v>
      </c>
      <c r="G42" s="1235">
        <v>0</v>
      </c>
      <c r="H42" s="674">
        <f>SUM(D42:E42)-F42+G42</f>
        <v>0</v>
      </c>
      <c r="I42" s="1235">
        <v>0</v>
      </c>
      <c r="J42" s="1235">
        <v>0</v>
      </c>
      <c r="K42" s="1235">
        <v>0</v>
      </c>
      <c r="L42" s="1235">
        <v>0</v>
      </c>
      <c r="M42" s="674">
        <f>H42+I42-J42+K42-L42</f>
        <v>0</v>
      </c>
      <c r="N42" s="370"/>
      <c r="O42" s="185"/>
      <c r="P42" s="185"/>
      <c r="Q42" s="185"/>
      <c r="R42" s="185"/>
    </row>
    <row r="43" spans="1:18">
      <c r="A43" s="185"/>
      <c r="B43" s="702">
        <v>333</v>
      </c>
      <c r="C43" s="673" t="s">
        <v>611</v>
      </c>
      <c r="D43" s="674">
        <f>Data!B197</f>
        <v>0</v>
      </c>
      <c r="E43" s="676">
        <f>Data!C197</f>
        <v>0</v>
      </c>
      <c r="F43" s="676">
        <f>Data!D197</f>
        <v>0</v>
      </c>
      <c r="G43" s="1235">
        <v>0</v>
      </c>
      <c r="H43" s="674">
        <f>SUM(D43:E43)-F43+G43</f>
        <v>0</v>
      </c>
      <c r="I43" s="1235">
        <v>0</v>
      </c>
      <c r="J43" s="1235">
        <v>0</v>
      </c>
      <c r="K43" s="1235">
        <v>0</v>
      </c>
      <c r="L43" s="1235">
        <v>0</v>
      </c>
      <c r="M43" s="674">
        <f>H43+I43-J43+K43-L43</f>
        <v>0</v>
      </c>
      <c r="N43" s="370"/>
      <c r="O43" s="185"/>
      <c r="P43" s="185"/>
      <c r="Q43" s="185"/>
      <c r="R43" s="185"/>
    </row>
    <row r="44" spans="1:18">
      <c r="A44" s="185"/>
      <c r="B44" s="702">
        <v>334</v>
      </c>
      <c r="C44" s="673" t="s">
        <v>612</v>
      </c>
      <c r="D44" s="674">
        <f>Data!B198</f>
        <v>0</v>
      </c>
      <c r="E44" s="676">
        <f>Data!C198</f>
        <v>0</v>
      </c>
      <c r="F44" s="676">
        <f>Data!D198</f>
        <v>0</v>
      </c>
      <c r="G44" s="1235">
        <v>0</v>
      </c>
      <c r="H44" s="674">
        <f>SUM(D44:E44)-F44+G44</f>
        <v>0</v>
      </c>
      <c r="I44" s="1235">
        <v>0</v>
      </c>
      <c r="J44" s="1235">
        <v>0</v>
      </c>
      <c r="K44" s="1235">
        <v>0</v>
      </c>
      <c r="L44" s="1235">
        <v>0</v>
      </c>
      <c r="M44" s="674">
        <f>H44+I44-J44+K44-L44</f>
        <v>0</v>
      </c>
      <c r="N44" s="370"/>
      <c r="O44" s="185"/>
      <c r="P44" s="185"/>
      <c r="Q44" s="185"/>
      <c r="R44" s="185"/>
    </row>
    <row r="45" spans="1:18">
      <c r="A45" s="185"/>
      <c r="B45" s="702"/>
      <c r="C45" s="673"/>
      <c r="D45" s="920"/>
      <c r="E45" s="738"/>
      <c r="F45" s="738"/>
      <c r="G45" s="738"/>
      <c r="H45" s="738"/>
      <c r="I45" s="738"/>
      <c r="J45" s="738"/>
      <c r="K45" s="738"/>
      <c r="L45" s="738"/>
      <c r="M45" s="738"/>
      <c r="N45" s="370"/>
      <c r="O45" s="185"/>
      <c r="P45" s="185"/>
      <c r="Q45" s="185"/>
      <c r="R45" s="185"/>
    </row>
    <row r="46" spans="1:18">
      <c r="A46" s="185"/>
      <c r="B46" s="702"/>
      <c r="C46" s="673" t="s">
        <v>613</v>
      </c>
      <c r="D46" s="935">
        <f t="shared" ref="D46:M46" si="7">SUM(D40:D45)</f>
        <v>0</v>
      </c>
      <c r="E46" s="935">
        <f t="shared" si="7"/>
        <v>0</v>
      </c>
      <c r="F46" s="935">
        <f t="shared" si="7"/>
        <v>0</v>
      </c>
      <c r="G46" s="935">
        <f t="shared" si="7"/>
        <v>0</v>
      </c>
      <c r="H46" s="935">
        <f t="shared" si="7"/>
        <v>0</v>
      </c>
      <c r="I46" s="935">
        <f t="shared" si="7"/>
        <v>0</v>
      </c>
      <c r="J46" s="935">
        <f t="shared" si="7"/>
        <v>0</v>
      </c>
      <c r="K46" s="935">
        <f t="shared" si="7"/>
        <v>0</v>
      </c>
      <c r="L46" s="935">
        <f t="shared" si="7"/>
        <v>0</v>
      </c>
      <c r="M46" s="935">
        <f t="shared" si="7"/>
        <v>0</v>
      </c>
      <c r="N46" s="370"/>
      <c r="O46" s="185"/>
      <c r="P46" s="185"/>
      <c r="Q46" s="185"/>
      <c r="R46" s="185"/>
    </row>
    <row r="47" spans="1:18">
      <c r="A47" s="185"/>
      <c r="B47" s="1239"/>
      <c r="C47" s="673"/>
      <c r="D47" s="673"/>
      <c r="E47" s="673"/>
      <c r="F47" s="673"/>
      <c r="G47" s="673"/>
      <c r="H47" s="673"/>
      <c r="I47" s="673"/>
      <c r="J47" s="673"/>
      <c r="K47" s="673"/>
      <c r="L47" s="673"/>
      <c r="M47" s="1247"/>
      <c r="N47" s="699"/>
      <c r="O47" s="185"/>
      <c r="P47" s="185"/>
      <c r="Q47" s="185"/>
      <c r="R47" s="185"/>
    </row>
    <row r="48" spans="1:18" ht="13.5" thickBot="1">
      <c r="A48" s="185"/>
      <c r="B48" s="704"/>
      <c r="C48" s="705"/>
      <c r="D48" s="2025"/>
      <c r="E48" s="2025"/>
      <c r="F48" s="2025"/>
      <c r="G48" s="2025"/>
      <c r="H48" s="2025"/>
      <c r="I48" s="2025"/>
      <c r="J48" s="2025"/>
      <c r="K48" s="2025"/>
      <c r="L48" s="2025"/>
      <c r="M48" s="705"/>
      <c r="N48" s="1241"/>
      <c r="O48" s="185"/>
      <c r="P48" s="185"/>
      <c r="Q48" s="185"/>
      <c r="R48" s="185"/>
    </row>
    <row r="49" spans="1:18" ht="13.5" thickTop="1">
      <c r="A49" s="185"/>
      <c r="B49" s="1222"/>
      <c r="C49" s="186"/>
      <c r="D49" s="999"/>
      <c r="E49" s="187"/>
      <c r="F49" s="187"/>
      <c r="G49" s="187"/>
      <c r="H49" s="187"/>
      <c r="I49" s="187"/>
      <c r="J49" s="187"/>
      <c r="K49" s="187"/>
      <c r="L49" s="187"/>
      <c r="M49" s="186"/>
      <c r="N49" s="185"/>
      <c r="O49" s="185"/>
      <c r="P49" s="185"/>
      <c r="Q49" s="185"/>
      <c r="R49" s="185"/>
    </row>
    <row r="50" spans="1:18">
      <c r="A50" s="185"/>
      <c r="B50" s="1251" t="str">
        <f>B1</f>
        <v>2015 Test Year</v>
      </c>
      <c r="C50" s="671"/>
      <c r="D50" s="2014" t="str">
        <f>Utility</f>
        <v>MADISON WATER UTILITY</v>
      </c>
      <c r="E50" s="2014"/>
      <c r="F50" s="2014"/>
      <c r="G50" s="2014"/>
      <c r="H50" s="2014"/>
      <c r="I50" s="2014"/>
      <c r="J50" s="2014"/>
      <c r="K50" s="2014"/>
      <c r="L50" s="1252"/>
      <c r="M50" s="671"/>
      <c r="N50" s="666" t="s">
        <v>637</v>
      </c>
      <c r="O50" s="185"/>
      <c r="P50" s="185"/>
      <c r="Q50" s="185"/>
      <c r="R50" s="185"/>
    </row>
    <row r="51" spans="1:18" ht="12" customHeight="1">
      <c r="A51" s="185"/>
      <c r="B51" s="1002"/>
      <c r="C51" s="671"/>
      <c r="D51" s="1920" t="s">
        <v>638</v>
      </c>
      <c r="E51" s="1920"/>
      <c r="F51" s="1920"/>
      <c r="G51" s="1920"/>
      <c r="H51" s="1920"/>
      <c r="I51" s="1920"/>
      <c r="J51" s="1920"/>
      <c r="K51" s="1920"/>
      <c r="L51" s="1252"/>
      <c r="M51" s="1002"/>
      <c r="N51" s="666" t="s">
        <v>552</v>
      </c>
      <c r="O51" s="185"/>
      <c r="P51" s="185"/>
      <c r="Q51" s="185"/>
      <c r="R51" s="185"/>
    </row>
    <row r="52" spans="1:18" ht="15" customHeight="1">
      <c r="A52" s="185"/>
      <c r="B52" s="1002"/>
      <c r="C52" s="1250"/>
      <c r="D52" s="2026" t="str">
        <f>D3</f>
        <v>Estimated for Test Year 2015</v>
      </c>
      <c r="E52" s="2026"/>
      <c r="F52" s="2026"/>
      <c r="G52" s="2026"/>
      <c r="H52" s="2026"/>
      <c r="I52" s="2026"/>
      <c r="J52" s="2026"/>
      <c r="K52" s="2026"/>
      <c r="L52" s="1250"/>
      <c r="M52" s="1002"/>
      <c r="N52" s="185"/>
      <c r="O52" s="185"/>
      <c r="P52" s="185"/>
      <c r="Q52" s="185"/>
      <c r="R52" s="185"/>
    </row>
    <row r="53" spans="1:18" ht="15" customHeight="1" thickBot="1">
      <c r="A53" s="185"/>
      <c r="B53" s="1002"/>
      <c r="C53" s="1250"/>
      <c r="D53" s="2032" t="s">
        <v>639</v>
      </c>
      <c r="E53" s="2032"/>
      <c r="F53" s="2032"/>
      <c r="G53" s="2032"/>
      <c r="H53" s="2032"/>
      <c r="I53" s="2032"/>
      <c r="J53" s="2032"/>
      <c r="K53" s="2032"/>
      <c r="L53" s="1250"/>
      <c r="M53" s="1002"/>
      <c r="N53" s="185"/>
      <c r="O53" s="185"/>
      <c r="P53" s="185"/>
      <c r="Q53" s="185"/>
      <c r="R53" s="185"/>
    </row>
    <row r="54" spans="1:18" ht="15.75" customHeight="1" thickTop="1">
      <c r="A54" s="185"/>
      <c r="B54" s="1259"/>
      <c r="C54" s="1260"/>
      <c r="D54" s="1025"/>
      <c r="E54" s="1025"/>
      <c r="F54" s="1025"/>
      <c r="G54" s="1025"/>
      <c r="H54" s="1025"/>
      <c r="I54" s="1025"/>
      <c r="J54" s="1025"/>
      <c r="K54" s="1025"/>
      <c r="L54" s="1025"/>
      <c r="M54" s="1260"/>
      <c r="N54" s="368"/>
      <c r="O54" s="185"/>
      <c r="P54" s="185"/>
      <c r="Q54" s="185"/>
      <c r="R54" s="185"/>
    </row>
    <row r="55" spans="1:18">
      <c r="A55" s="185"/>
      <c r="B55" s="1261"/>
      <c r="C55" s="719"/>
      <c r="D55" s="1245" t="str">
        <f>D6</f>
        <v>Actual</v>
      </c>
      <c r="E55" s="2041"/>
      <c r="F55" s="2041"/>
      <c r="G55" s="2041"/>
      <c r="H55" s="2041"/>
      <c r="I55" s="2041"/>
      <c r="J55" s="2041"/>
      <c r="K55" s="2041"/>
      <c r="L55" s="2041"/>
      <c r="M55" s="2041"/>
      <c r="N55" s="370"/>
      <c r="O55" s="185"/>
      <c r="P55" s="185"/>
      <c r="Q55" s="185"/>
      <c r="R55" s="185"/>
    </row>
    <row r="56" spans="1:18">
      <c r="A56" s="185"/>
      <c r="B56" s="1261"/>
      <c r="C56" s="719" t="s">
        <v>527</v>
      </c>
      <c r="D56" s="1245" t="str">
        <f>D7</f>
        <v>Contributed</v>
      </c>
      <c r="E56" s="2028" t="str">
        <f>E8</f>
        <v>Estimated 2014</v>
      </c>
      <c r="F56" s="2033"/>
      <c r="G56" s="1246"/>
      <c r="H56" s="804" t="str">
        <f>H7</f>
        <v>Estimated</v>
      </c>
      <c r="I56" s="2034" t="str">
        <f>I7</f>
        <v>Estimate 2015</v>
      </c>
      <c r="J56" s="2034"/>
      <c r="K56" s="2034" t="e">
        <f>CONCATENATE(Attach7!L56," ",#REF!-1)</f>
        <v>#REF!</v>
      </c>
      <c r="L56" s="2034"/>
      <c r="M56" s="803" t="s">
        <v>641</v>
      </c>
      <c r="N56" s="370"/>
      <c r="O56" s="185"/>
      <c r="P56" s="185"/>
      <c r="Q56" s="185"/>
      <c r="R56" s="185"/>
    </row>
    <row r="57" spans="1:18">
      <c r="A57" s="185"/>
      <c r="B57" s="1027" t="s">
        <v>528</v>
      </c>
      <c r="C57" s="874"/>
      <c r="D57" s="804" t="str">
        <f>D8</f>
        <v>Plant</v>
      </c>
      <c r="E57" s="2033"/>
      <c r="F57" s="2033"/>
      <c r="G57" s="1246"/>
      <c r="H57" s="804" t="s">
        <v>579</v>
      </c>
      <c r="I57" s="2023" t="s">
        <v>580</v>
      </c>
      <c r="J57" s="2023"/>
      <c r="K57" s="2023" t="s">
        <v>581</v>
      </c>
      <c r="L57" s="2024"/>
      <c r="M57" s="803" t="s">
        <v>579</v>
      </c>
      <c r="N57" s="370"/>
      <c r="O57" s="185"/>
      <c r="P57" s="185"/>
      <c r="Q57" s="185"/>
      <c r="R57" s="185"/>
    </row>
    <row r="58" spans="1:18">
      <c r="A58" s="185"/>
      <c r="B58" s="1027" t="s">
        <v>529</v>
      </c>
      <c r="C58" s="804" t="s">
        <v>576</v>
      </c>
      <c r="D58" s="1245" t="str">
        <f>D9</f>
        <v>12/31/2013</v>
      </c>
      <c r="E58" s="864" t="s">
        <v>582</v>
      </c>
      <c r="F58" s="865" t="s">
        <v>583</v>
      </c>
      <c r="G58" s="864" t="s">
        <v>584</v>
      </c>
      <c r="H58" s="804" t="str">
        <f>H9</f>
        <v>12/31/2014</v>
      </c>
      <c r="I58" s="865" t="s">
        <v>582</v>
      </c>
      <c r="J58" s="864" t="s">
        <v>583</v>
      </c>
      <c r="K58" s="864" t="s">
        <v>582</v>
      </c>
      <c r="L58" s="864" t="s">
        <v>583</v>
      </c>
      <c r="M58" s="803" t="str">
        <f>M9</f>
        <v>12/31/2015</v>
      </c>
      <c r="N58" s="370"/>
      <c r="O58" s="185"/>
      <c r="P58" s="185"/>
      <c r="Q58" s="185"/>
      <c r="R58" s="185"/>
    </row>
    <row r="59" spans="1:18" ht="17.25" customHeight="1">
      <c r="A59" s="185"/>
      <c r="B59" s="1262"/>
      <c r="C59" s="1255"/>
      <c r="D59" s="1255" t="s">
        <v>531</v>
      </c>
      <c r="E59" s="1253" t="s">
        <v>643</v>
      </c>
      <c r="F59" s="1006"/>
      <c r="G59" s="1006"/>
      <c r="H59" s="1006" t="s">
        <v>531</v>
      </c>
      <c r="I59" s="1253" t="s">
        <v>643</v>
      </c>
      <c r="J59" s="1006"/>
      <c r="K59" s="1253" t="s">
        <v>643</v>
      </c>
      <c r="L59" s="1256"/>
      <c r="M59" s="1255" t="s">
        <v>531</v>
      </c>
      <c r="N59" s="370"/>
      <c r="O59" s="185"/>
      <c r="P59" s="185"/>
      <c r="Q59" s="185"/>
      <c r="R59" s="185"/>
    </row>
    <row r="60" spans="1:18" ht="17.25" customHeight="1">
      <c r="A60" s="185"/>
      <c r="B60" s="702"/>
      <c r="C60" s="673"/>
      <c r="D60" s="1257"/>
      <c r="E60" s="1258"/>
      <c r="F60" s="738"/>
      <c r="G60" s="738"/>
      <c r="H60" s="738"/>
      <c r="I60" s="738"/>
      <c r="J60" s="738"/>
      <c r="K60" s="1258"/>
      <c r="L60" s="738"/>
      <c r="M60" s="738"/>
      <c r="N60" s="370"/>
      <c r="O60" s="185"/>
      <c r="P60" s="185"/>
      <c r="Q60" s="185"/>
      <c r="R60" s="185"/>
    </row>
    <row r="61" spans="1:18" ht="17.25" customHeight="1">
      <c r="A61" s="185"/>
      <c r="B61" s="702"/>
      <c r="C61" s="736" t="s">
        <v>614</v>
      </c>
      <c r="D61" s="674" t="s">
        <v>342</v>
      </c>
      <c r="E61" s="676" t="s">
        <v>342</v>
      </c>
      <c r="F61" s="676" t="s">
        <v>342</v>
      </c>
      <c r="G61" s="676"/>
      <c r="H61" s="676" t="s">
        <v>342</v>
      </c>
      <c r="I61" s="676"/>
      <c r="J61" s="676"/>
      <c r="K61" s="676" t="s">
        <v>342</v>
      </c>
      <c r="L61" s="676" t="s">
        <v>342</v>
      </c>
      <c r="M61" s="676" t="s">
        <v>342</v>
      </c>
      <c r="N61" s="370"/>
      <c r="O61" s="185"/>
      <c r="P61" s="185"/>
      <c r="Q61" s="185"/>
      <c r="R61" s="185"/>
    </row>
    <row r="62" spans="1:18" ht="17.25" customHeight="1">
      <c r="A62" s="185"/>
      <c r="B62" s="702">
        <v>340</v>
      </c>
      <c r="C62" s="673" t="s">
        <v>595</v>
      </c>
      <c r="D62" s="920">
        <f>Data!B199</f>
        <v>1000</v>
      </c>
      <c r="E62" s="738">
        <f>Data!C199</f>
        <v>0</v>
      </c>
      <c r="F62" s="738">
        <f>Data!D199</f>
        <v>0</v>
      </c>
      <c r="G62" s="1234">
        <v>0</v>
      </c>
      <c r="H62" s="920">
        <f>SUM(D62:E62)-F62+G62</f>
        <v>1000</v>
      </c>
      <c r="I62" s="1234">
        <v>0</v>
      </c>
      <c r="J62" s="1234">
        <v>0</v>
      </c>
      <c r="K62" s="1234">
        <v>0</v>
      </c>
      <c r="L62" s="1234">
        <v>0</v>
      </c>
      <c r="M62" s="920">
        <f t="shared" ref="M62:M69" si="8">H62+I62-J62+K62-L62</f>
        <v>1000</v>
      </c>
      <c r="N62" s="370"/>
      <c r="O62" s="185"/>
      <c r="P62" s="185"/>
      <c r="Q62" s="185"/>
      <c r="R62" s="185"/>
    </row>
    <row r="63" spans="1:18">
      <c r="A63" s="185"/>
      <c r="B63" s="702">
        <v>341</v>
      </c>
      <c r="C63" s="673" t="s">
        <v>596</v>
      </c>
      <c r="D63" s="674">
        <f>Data!B200</f>
        <v>0</v>
      </c>
      <c r="E63" s="676">
        <f>Data!C200</f>
        <v>0</v>
      </c>
      <c r="F63" s="676">
        <f>Data!D200</f>
        <v>0</v>
      </c>
      <c r="G63" s="1235">
        <v>0</v>
      </c>
      <c r="H63" s="674">
        <f>SUM(D63:E63)-F63+G63</f>
        <v>0</v>
      </c>
      <c r="I63" s="1235">
        <v>0</v>
      </c>
      <c r="J63" s="1235">
        <v>0</v>
      </c>
      <c r="K63" s="1235">
        <v>0</v>
      </c>
      <c r="L63" s="1235">
        <v>0</v>
      </c>
      <c r="M63" s="674">
        <f t="shared" si="8"/>
        <v>0</v>
      </c>
      <c r="N63" s="370"/>
      <c r="O63" s="185"/>
      <c r="P63" s="185"/>
      <c r="Q63" s="185"/>
      <c r="R63" s="185"/>
    </row>
    <row r="64" spans="1:18">
      <c r="A64" s="185"/>
      <c r="B64" s="702">
        <v>342</v>
      </c>
      <c r="C64" s="673" t="s">
        <v>615</v>
      </c>
      <c r="D64" s="674">
        <f>Data!B201</f>
        <v>14250</v>
      </c>
      <c r="E64" s="676">
        <f>Data!C201</f>
        <v>0</v>
      </c>
      <c r="F64" s="676">
        <f>Data!D201</f>
        <v>0</v>
      </c>
      <c r="G64" s="1235">
        <v>0</v>
      </c>
      <c r="H64" s="674">
        <f t="shared" ref="H64:H69" si="9">SUM(D64:E64)-F64+G64</f>
        <v>14250</v>
      </c>
      <c r="I64" s="1235">
        <v>0</v>
      </c>
      <c r="J64" s="1235">
        <v>0</v>
      </c>
      <c r="K64" s="1235">
        <v>0</v>
      </c>
      <c r="L64" s="1235">
        <v>0</v>
      </c>
      <c r="M64" s="674">
        <f t="shared" si="8"/>
        <v>14250</v>
      </c>
      <c r="N64" s="370"/>
      <c r="O64" s="185"/>
      <c r="P64" s="185"/>
      <c r="Q64" s="185"/>
      <c r="R64" s="185"/>
    </row>
    <row r="65" spans="1:18">
      <c r="A65" s="185"/>
      <c r="B65" s="702">
        <v>343</v>
      </c>
      <c r="C65" s="673" t="s">
        <v>616</v>
      </c>
      <c r="D65" s="674">
        <f>Data!B202</f>
        <v>55772362</v>
      </c>
      <c r="E65" s="676">
        <v>1045164</v>
      </c>
      <c r="F65" s="676">
        <v>237943</v>
      </c>
      <c r="G65" s="1235">
        <v>0</v>
      </c>
      <c r="H65" s="674">
        <f t="shared" si="9"/>
        <v>56579583</v>
      </c>
      <c r="I65" s="1235">
        <v>0</v>
      </c>
      <c r="J65" s="1235">
        <v>0</v>
      </c>
      <c r="K65" s="1235">
        <f t="shared" ref="K65:L68" si="10">E65</f>
        <v>1045164</v>
      </c>
      <c r="L65" s="1235">
        <v>82063</v>
      </c>
      <c r="M65" s="674">
        <f t="shared" si="8"/>
        <v>57542684</v>
      </c>
      <c r="N65" s="370"/>
      <c r="O65" s="185"/>
      <c r="P65" s="185"/>
      <c r="Q65" s="185"/>
      <c r="R65" s="185"/>
    </row>
    <row r="66" spans="1:18">
      <c r="A66" s="185"/>
      <c r="B66" s="702">
        <v>345</v>
      </c>
      <c r="C66" s="673" t="s">
        <v>617</v>
      </c>
      <c r="D66" s="674">
        <f>Data!B203</f>
        <v>18863932</v>
      </c>
      <c r="E66" s="676">
        <v>368880</v>
      </c>
      <c r="F66" s="676">
        <v>95137</v>
      </c>
      <c r="G66" s="1235">
        <v>0</v>
      </c>
      <c r="H66" s="674">
        <f t="shared" si="9"/>
        <v>19137675</v>
      </c>
      <c r="I66" s="1235">
        <v>0</v>
      </c>
      <c r="J66" s="1235">
        <v>0</v>
      </c>
      <c r="K66" s="1235">
        <f t="shared" si="10"/>
        <v>368880</v>
      </c>
      <c r="L66" s="1235">
        <v>32811</v>
      </c>
      <c r="M66" s="674">
        <f t="shared" si="8"/>
        <v>19473744</v>
      </c>
      <c r="N66" s="370"/>
      <c r="O66" s="185"/>
      <c r="P66" s="185"/>
      <c r="Q66" s="185"/>
      <c r="R66" s="185"/>
    </row>
    <row r="67" spans="1:18">
      <c r="A67" s="185"/>
      <c r="B67" s="702">
        <v>346</v>
      </c>
      <c r="C67" s="673" t="s">
        <v>618</v>
      </c>
      <c r="D67" s="674">
        <f>Data!B204</f>
        <v>9215</v>
      </c>
      <c r="E67" s="676"/>
      <c r="F67" s="676"/>
      <c r="G67" s="1235">
        <v>0</v>
      </c>
      <c r="H67" s="674">
        <f t="shared" si="9"/>
        <v>9215</v>
      </c>
      <c r="I67" s="1235">
        <v>0</v>
      </c>
      <c r="J67" s="1235">
        <v>0</v>
      </c>
      <c r="K67" s="1235">
        <f t="shared" si="10"/>
        <v>0</v>
      </c>
      <c r="L67" s="1235">
        <f t="shared" si="10"/>
        <v>0</v>
      </c>
      <c r="M67" s="674">
        <f t="shared" si="8"/>
        <v>9215</v>
      </c>
      <c r="N67" s="370"/>
      <c r="O67" s="185"/>
      <c r="P67" s="185"/>
      <c r="Q67" s="185"/>
      <c r="R67" s="185"/>
    </row>
    <row r="68" spans="1:18">
      <c r="A68" s="185"/>
      <c r="B68" s="702">
        <v>348</v>
      </c>
      <c r="C68" s="673" t="s">
        <v>338</v>
      </c>
      <c r="D68" s="674">
        <f>Data!B205</f>
        <v>6600524</v>
      </c>
      <c r="E68" s="676">
        <v>121763</v>
      </c>
      <c r="F68" s="676">
        <v>71242</v>
      </c>
      <c r="G68" s="1235">
        <v>0</v>
      </c>
      <c r="H68" s="674">
        <f t="shared" si="9"/>
        <v>6651045</v>
      </c>
      <c r="I68" s="1235">
        <v>0</v>
      </c>
      <c r="J68" s="1235">
        <v>0</v>
      </c>
      <c r="K68" s="1235">
        <f t="shared" si="10"/>
        <v>121763</v>
      </c>
      <c r="L68" s="1235">
        <v>24570</v>
      </c>
      <c r="M68" s="674">
        <f t="shared" si="8"/>
        <v>6748238</v>
      </c>
      <c r="N68" s="370"/>
      <c r="O68" s="185"/>
      <c r="P68" s="185"/>
      <c r="Q68" s="185"/>
      <c r="R68" s="185"/>
    </row>
    <row r="69" spans="1:18">
      <c r="A69" s="185"/>
      <c r="B69" s="702">
        <v>349</v>
      </c>
      <c r="C69" s="673" t="s">
        <v>619</v>
      </c>
      <c r="D69" s="675">
        <f>Data!B206</f>
        <v>0</v>
      </c>
      <c r="E69" s="922">
        <f>Data!C206</f>
        <v>0</v>
      </c>
      <c r="F69" s="922">
        <f>Data!D206</f>
        <v>0</v>
      </c>
      <c r="G69" s="1235">
        <v>0</v>
      </c>
      <c r="H69" s="674">
        <f t="shared" si="9"/>
        <v>0</v>
      </c>
      <c r="I69" s="1235">
        <v>0</v>
      </c>
      <c r="J69" s="1235">
        <v>0</v>
      </c>
      <c r="K69" s="1235">
        <v>0</v>
      </c>
      <c r="L69" s="1235">
        <v>0</v>
      </c>
      <c r="M69" s="674">
        <f t="shared" si="8"/>
        <v>0</v>
      </c>
      <c r="N69" s="370"/>
      <c r="O69" s="185"/>
      <c r="P69" s="185"/>
      <c r="Q69" s="185"/>
      <c r="R69" s="185"/>
    </row>
    <row r="70" spans="1:18" ht="15.75" customHeight="1">
      <c r="A70" s="185"/>
      <c r="B70" s="702"/>
      <c r="C70" s="673"/>
      <c r="D70" s="719"/>
      <c r="E70" s="673"/>
      <c r="F70" s="673"/>
      <c r="G70" s="673"/>
      <c r="H70" s="1236"/>
      <c r="I70" s="673"/>
      <c r="J70" s="673"/>
      <c r="K70" s="673"/>
      <c r="L70" s="673"/>
      <c r="M70" s="1236"/>
      <c r="N70" s="370"/>
      <c r="O70" s="185"/>
      <c r="P70" s="185"/>
      <c r="Q70" s="185"/>
      <c r="R70" s="185"/>
    </row>
    <row r="71" spans="1:18" ht="15.75" customHeight="1">
      <c r="A71" s="185"/>
      <c r="B71" s="702"/>
      <c r="C71" s="673" t="s">
        <v>620</v>
      </c>
      <c r="D71" s="935">
        <f t="shared" ref="D71:M71" si="11">SUM(D62:D69)</f>
        <v>81261283</v>
      </c>
      <c r="E71" s="935">
        <f t="shared" si="11"/>
        <v>1535807</v>
      </c>
      <c r="F71" s="935">
        <f t="shared" si="11"/>
        <v>404322</v>
      </c>
      <c r="G71" s="935">
        <f t="shared" si="11"/>
        <v>0</v>
      </c>
      <c r="H71" s="935">
        <f t="shared" si="11"/>
        <v>82392768</v>
      </c>
      <c r="I71" s="935">
        <f t="shared" si="11"/>
        <v>0</v>
      </c>
      <c r="J71" s="935">
        <f t="shared" si="11"/>
        <v>0</v>
      </c>
      <c r="K71" s="935">
        <f t="shared" si="11"/>
        <v>1535807</v>
      </c>
      <c r="L71" s="935">
        <f t="shared" si="11"/>
        <v>139444</v>
      </c>
      <c r="M71" s="935">
        <f t="shared" si="11"/>
        <v>83789131</v>
      </c>
      <c r="N71" s="370"/>
      <c r="O71" s="185"/>
      <c r="P71" s="185"/>
      <c r="Q71" s="185"/>
      <c r="R71" s="185"/>
    </row>
    <row r="72" spans="1:18">
      <c r="A72" s="185"/>
      <c r="B72" s="702"/>
      <c r="C72" s="673"/>
      <c r="D72" s="719" t="s">
        <v>593</v>
      </c>
      <c r="E72" s="673" t="s">
        <v>593</v>
      </c>
      <c r="F72" s="673" t="s">
        <v>593</v>
      </c>
      <c r="G72" s="673"/>
      <c r="H72" s="673" t="s">
        <v>593</v>
      </c>
      <c r="I72" s="673"/>
      <c r="J72" s="673"/>
      <c r="K72" s="673" t="s">
        <v>593</v>
      </c>
      <c r="L72" s="673" t="s">
        <v>593</v>
      </c>
      <c r="M72" s="673" t="s">
        <v>593</v>
      </c>
      <c r="N72" s="370"/>
      <c r="O72" s="185"/>
      <c r="P72" s="185"/>
      <c r="Q72" s="185"/>
      <c r="R72" s="185"/>
    </row>
    <row r="73" spans="1:18">
      <c r="A73" s="185"/>
      <c r="B73" s="702"/>
      <c r="C73" s="736" t="s">
        <v>621</v>
      </c>
      <c r="D73" s="674" t="s">
        <v>342</v>
      </c>
      <c r="E73" s="676" t="s">
        <v>342</v>
      </c>
      <c r="F73" s="676" t="s">
        <v>342</v>
      </c>
      <c r="G73" s="676"/>
      <c r="H73" s="676" t="s">
        <v>342</v>
      </c>
      <c r="I73" s="676"/>
      <c r="J73" s="676"/>
      <c r="K73" s="676" t="s">
        <v>342</v>
      </c>
      <c r="L73" s="676" t="s">
        <v>342</v>
      </c>
      <c r="M73" s="676" t="s">
        <v>342</v>
      </c>
      <c r="N73" s="370"/>
      <c r="O73" s="185"/>
      <c r="P73" s="185"/>
      <c r="Q73" s="185"/>
      <c r="R73" s="185"/>
    </row>
    <row r="74" spans="1:18">
      <c r="A74" s="185"/>
      <c r="B74" s="702">
        <v>389</v>
      </c>
      <c r="C74" s="673" t="s">
        <v>595</v>
      </c>
      <c r="D74" s="920">
        <f>Data!B207</f>
        <v>0</v>
      </c>
      <c r="E74" s="738">
        <f>Data!C207</f>
        <v>0</v>
      </c>
      <c r="F74" s="738">
        <f>Data!D207</f>
        <v>0</v>
      </c>
      <c r="G74" s="1234">
        <v>0</v>
      </c>
      <c r="H74" s="920">
        <f>SUM(D74:E74)-F74+G74</f>
        <v>0</v>
      </c>
      <c r="I74" s="1234">
        <v>0</v>
      </c>
      <c r="J74" s="1234">
        <v>0</v>
      </c>
      <c r="K74" s="1234">
        <v>0</v>
      </c>
      <c r="L74" s="1234">
        <v>0</v>
      </c>
      <c r="M74" s="920">
        <f>H74+I74-J74+K74-L74</f>
        <v>0</v>
      </c>
      <c r="N74" s="370"/>
      <c r="O74" s="185"/>
      <c r="P74" s="185"/>
      <c r="Q74" s="185"/>
      <c r="R74" s="185"/>
    </row>
    <row r="75" spans="1:18">
      <c r="A75" s="185"/>
      <c r="B75" s="702">
        <v>390</v>
      </c>
      <c r="C75" s="673" t="s">
        <v>596</v>
      </c>
      <c r="D75" s="674">
        <f>Data!B208</f>
        <v>0</v>
      </c>
      <c r="E75" s="676">
        <f>Data!C208</f>
        <v>0</v>
      </c>
      <c r="F75" s="676">
        <f>Data!D208</f>
        <v>0</v>
      </c>
      <c r="G75" s="1235">
        <v>0</v>
      </c>
      <c r="H75" s="674">
        <f>SUM(D75:E75)-F75+G75</f>
        <v>0</v>
      </c>
      <c r="I75" s="1235">
        <v>0</v>
      </c>
      <c r="J75" s="1235">
        <v>0</v>
      </c>
      <c r="K75" s="1235">
        <v>0</v>
      </c>
      <c r="L75" s="1235">
        <v>0</v>
      </c>
      <c r="M75" s="674">
        <f>H75+I75-J75+K75-L75</f>
        <v>0</v>
      </c>
      <c r="N75" s="370"/>
      <c r="O75" s="185"/>
      <c r="P75" s="185"/>
      <c r="Q75" s="185"/>
      <c r="R75" s="185"/>
    </row>
    <row r="76" spans="1:18">
      <c r="A76" s="185"/>
      <c r="B76" s="702">
        <v>391</v>
      </c>
      <c r="C76" s="673" t="s">
        <v>622</v>
      </c>
      <c r="D76" s="674">
        <f>Data!B209</f>
        <v>0</v>
      </c>
      <c r="E76" s="676">
        <f>Data!C209</f>
        <v>0</v>
      </c>
      <c r="F76" s="676">
        <f>Data!D209</f>
        <v>0</v>
      </c>
      <c r="G76" s="1235">
        <v>0</v>
      </c>
      <c r="H76" s="674">
        <f t="shared" ref="H76:H85" si="12">SUM(D76:E76)-F76+G76</f>
        <v>0</v>
      </c>
      <c r="I76" s="1235">
        <v>0</v>
      </c>
      <c r="J76" s="1235">
        <v>0</v>
      </c>
      <c r="K76" s="1235">
        <v>0</v>
      </c>
      <c r="L76" s="1235">
        <v>0</v>
      </c>
      <c r="M76" s="674">
        <f t="shared" ref="M76:M82" si="13">H76+I76-J76+K76-L76</f>
        <v>0</v>
      </c>
      <c r="N76" s="370"/>
      <c r="O76" s="185"/>
      <c r="P76" s="185"/>
      <c r="Q76" s="185"/>
      <c r="R76" s="185"/>
    </row>
    <row r="77" spans="1:18">
      <c r="A77" s="185"/>
      <c r="B77" s="702">
        <v>391.1</v>
      </c>
      <c r="C77" s="673" t="s">
        <v>623</v>
      </c>
      <c r="D77" s="674">
        <f>Data!B210</f>
        <v>0</v>
      </c>
      <c r="E77" s="676">
        <f>Data!C210</f>
        <v>0</v>
      </c>
      <c r="F77" s="676">
        <f>Data!D210</f>
        <v>0</v>
      </c>
      <c r="G77" s="1235">
        <v>0</v>
      </c>
      <c r="H77" s="674">
        <f t="shared" si="12"/>
        <v>0</v>
      </c>
      <c r="I77" s="1235">
        <v>0</v>
      </c>
      <c r="J77" s="1235">
        <v>0</v>
      </c>
      <c r="K77" s="1235">
        <v>0</v>
      </c>
      <c r="L77" s="1235">
        <v>0</v>
      </c>
      <c r="M77" s="674">
        <f t="shared" si="13"/>
        <v>0</v>
      </c>
      <c r="N77" s="370"/>
      <c r="O77" s="185"/>
      <c r="P77" s="185"/>
      <c r="Q77" s="185"/>
      <c r="R77" s="185"/>
    </row>
    <row r="78" spans="1:18">
      <c r="A78" s="185"/>
      <c r="B78" s="702">
        <v>392</v>
      </c>
      <c r="C78" s="673" t="s">
        <v>624</v>
      </c>
      <c r="D78" s="674">
        <f>Data!B211</f>
        <v>0</v>
      </c>
      <c r="E78" s="676">
        <f>Data!C211</f>
        <v>0</v>
      </c>
      <c r="F78" s="676">
        <f>Data!D211</f>
        <v>0</v>
      </c>
      <c r="G78" s="1235">
        <v>0</v>
      </c>
      <c r="H78" s="674">
        <f t="shared" si="12"/>
        <v>0</v>
      </c>
      <c r="I78" s="1235">
        <v>0</v>
      </c>
      <c r="J78" s="1235">
        <v>0</v>
      </c>
      <c r="K78" s="1235">
        <v>0</v>
      </c>
      <c r="L78" s="1235">
        <v>0</v>
      </c>
      <c r="M78" s="674">
        <f t="shared" si="13"/>
        <v>0</v>
      </c>
      <c r="N78" s="370"/>
      <c r="O78" s="185"/>
      <c r="P78" s="185"/>
      <c r="Q78" s="185"/>
      <c r="R78" s="185"/>
    </row>
    <row r="79" spans="1:18">
      <c r="A79" s="185"/>
      <c r="B79" s="702">
        <v>393</v>
      </c>
      <c r="C79" s="673" t="s">
        <v>625</v>
      </c>
      <c r="D79" s="674">
        <f>Data!B212</f>
        <v>0</v>
      </c>
      <c r="E79" s="676">
        <f>Data!C212</f>
        <v>0</v>
      </c>
      <c r="F79" s="676">
        <f>Data!D212</f>
        <v>0</v>
      </c>
      <c r="G79" s="1235">
        <v>0</v>
      </c>
      <c r="H79" s="674">
        <f t="shared" si="12"/>
        <v>0</v>
      </c>
      <c r="I79" s="1235">
        <v>0</v>
      </c>
      <c r="J79" s="1235">
        <v>0</v>
      </c>
      <c r="K79" s="1235">
        <v>0</v>
      </c>
      <c r="L79" s="1235">
        <v>0</v>
      </c>
      <c r="M79" s="674">
        <f t="shared" si="13"/>
        <v>0</v>
      </c>
      <c r="N79" s="370"/>
      <c r="O79" s="185"/>
      <c r="P79" s="185"/>
      <c r="Q79" s="185"/>
      <c r="R79" s="185"/>
    </row>
    <row r="80" spans="1:18">
      <c r="A80" s="185"/>
      <c r="B80" s="702">
        <v>394</v>
      </c>
      <c r="C80" s="673" t="s">
        <v>626</v>
      </c>
      <c r="D80" s="674">
        <f>Data!B213</f>
        <v>0</v>
      </c>
      <c r="E80" s="676">
        <f>Data!C213</f>
        <v>0</v>
      </c>
      <c r="F80" s="676">
        <f>Data!D213</f>
        <v>0</v>
      </c>
      <c r="G80" s="1235">
        <v>0</v>
      </c>
      <c r="H80" s="674">
        <f t="shared" si="12"/>
        <v>0</v>
      </c>
      <c r="I80" s="1235">
        <v>0</v>
      </c>
      <c r="J80" s="1235">
        <v>0</v>
      </c>
      <c r="K80" s="1235">
        <v>0</v>
      </c>
      <c r="L80" s="1235">
        <v>0</v>
      </c>
      <c r="M80" s="674">
        <f t="shared" si="13"/>
        <v>0</v>
      </c>
      <c r="N80" s="370"/>
      <c r="O80" s="185"/>
      <c r="P80" s="185"/>
      <c r="Q80" s="185"/>
      <c r="R80" s="185"/>
    </row>
    <row r="81" spans="1:18">
      <c r="A81" s="185"/>
      <c r="B81" s="702">
        <v>395</v>
      </c>
      <c r="C81" s="673" t="s">
        <v>627</v>
      </c>
      <c r="D81" s="674">
        <f>Data!B214</f>
        <v>0</v>
      </c>
      <c r="E81" s="676">
        <f>Data!C214</f>
        <v>0</v>
      </c>
      <c r="F81" s="676">
        <f>Data!D214</f>
        <v>0</v>
      </c>
      <c r="G81" s="1235">
        <v>0</v>
      </c>
      <c r="H81" s="674">
        <f t="shared" si="12"/>
        <v>0</v>
      </c>
      <c r="I81" s="1235">
        <v>0</v>
      </c>
      <c r="J81" s="1235">
        <v>0</v>
      </c>
      <c r="K81" s="1235">
        <v>0</v>
      </c>
      <c r="L81" s="1235">
        <v>0</v>
      </c>
      <c r="M81" s="674">
        <f t="shared" si="13"/>
        <v>0</v>
      </c>
      <c r="N81" s="370"/>
      <c r="O81" s="185"/>
      <c r="P81" s="185"/>
      <c r="Q81" s="185"/>
      <c r="R81" s="185"/>
    </row>
    <row r="82" spans="1:18">
      <c r="A82" s="185"/>
      <c r="B82" s="702">
        <v>396</v>
      </c>
      <c r="C82" s="673" t="s">
        <v>628</v>
      </c>
      <c r="D82" s="674">
        <f>Data!B215</f>
        <v>0</v>
      </c>
      <c r="E82" s="676">
        <f>Data!C215</f>
        <v>0</v>
      </c>
      <c r="F82" s="676">
        <f>Data!D215</f>
        <v>0</v>
      </c>
      <c r="G82" s="1235">
        <v>0</v>
      </c>
      <c r="H82" s="674">
        <f t="shared" si="12"/>
        <v>0</v>
      </c>
      <c r="I82" s="1235">
        <v>0</v>
      </c>
      <c r="J82" s="1235">
        <v>0</v>
      </c>
      <c r="K82" s="1235">
        <v>0</v>
      </c>
      <c r="L82" s="1235">
        <v>0</v>
      </c>
      <c r="M82" s="674">
        <f t="shared" si="13"/>
        <v>0</v>
      </c>
      <c r="N82" s="370"/>
      <c r="O82" s="185"/>
      <c r="P82" s="185"/>
      <c r="Q82" s="185"/>
      <c r="R82" s="185"/>
    </row>
    <row r="83" spans="1:18">
      <c r="A83" s="185"/>
      <c r="B83" s="702">
        <v>397</v>
      </c>
      <c r="C83" s="673" t="s">
        <v>629</v>
      </c>
      <c r="D83" s="674">
        <f>Data!B216</f>
        <v>0</v>
      </c>
      <c r="E83" s="676">
        <f>Data!C216</f>
        <v>0</v>
      </c>
      <c r="F83" s="676">
        <f>Data!D216</f>
        <v>0</v>
      </c>
      <c r="G83" s="1235">
        <v>0</v>
      </c>
      <c r="H83" s="674">
        <f t="shared" si="12"/>
        <v>0</v>
      </c>
      <c r="I83" s="1235">
        <v>0</v>
      </c>
      <c r="J83" s="1235">
        <v>0</v>
      </c>
      <c r="K83" s="1235">
        <v>0</v>
      </c>
      <c r="L83" s="1235">
        <v>0</v>
      </c>
      <c r="M83" s="674">
        <f>H83+I83-J83+K83-L83</f>
        <v>0</v>
      </c>
      <c r="N83" s="370"/>
      <c r="O83" s="185"/>
      <c r="P83" s="185"/>
      <c r="Q83" s="185"/>
      <c r="R83" s="185"/>
    </row>
    <row r="84" spans="1:18">
      <c r="A84" s="185"/>
      <c r="B84" s="702">
        <v>397.1</v>
      </c>
      <c r="C84" s="673" t="s">
        <v>630</v>
      </c>
      <c r="D84" s="674">
        <f>Data!B217</f>
        <v>0</v>
      </c>
      <c r="E84" s="676">
        <f>Data!C217</f>
        <v>0</v>
      </c>
      <c r="F84" s="676">
        <f>Data!D217</f>
        <v>0</v>
      </c>
      <c r="G84" s="1235">
        <v>0</v>
      </c>
      <c r="H84" s="674">
        <f t="shared" si="12"/>
        <v>0</v>
      </c>
      <c r="I84" s="1235">
        <v>0</v>
      </c>
      <c r="J84" s="1235">
        <v>0</v>
      </c>
      <c r="K84" s="1235">
        <v>0</v>
      </c>
      <c r="L84" s="1235">
        <v>0</v>
      </c>
      <c r="M84" s="674">
        <f>H84+I84-J84+K84-L84</f>
        <v>0</v>
      </c>
      <c r="N84" s="370"/>
      <c r="O84" s="185"/>
      <c r="P84" s="185"/>
      <c r="Q84" s="185"/>
      <c r="R84" s="185"/>
    </row>
    <row r="85" spans="1:18">
      <c r="A85" s="185"/>
      <c r="B85" s="702">
        <v>398</v>
      </c>
      <c r="C85" s="673" t="s">
        <v>631</v>
      </c>
      <c r="D85" s="675">
        <f>Data!B218</f>
        <v>0</v>
      </c>
      <c r="E85" s="922">
        <f>Data!C218</f>
        <v>0</v>
      </c>
      <c r="F85" s="922">
        <f>Data!D218</f>
        <v>0</v>
      </c>
      <c r="G85" s="1235">
        <v>0</v>
      </c>
      <c r="H85" s="675">
        <f t="shared" si="12"/>
        <v>0</v>
      </c>
      <c r="I85" s="1235">
        <v>0</v>
      </c>
      <c r="J85" s="1235">
        <v>0</v>
      </c>
      <c r="K85" s="1235">
        <v>0</v>
      </c>
      <c r="L85" s="1235">
        <v>0</v>
      </c>
      <c r="M85" s="675">
        <f>H85+I85-J85+K85-L85</f>
        <v>0</v>
      </c>
      <c r="N85" s="370"/>
      <c r="O85" s="185"/>
      <c r="P85" s="185"/>
      <c r="Q85" s="185"/>
      <c r="R85" s="185"/>
    </row>
    <row r="86" spans="1:18" ht="15.75" customHeight="1">
      <c r="A86" s="185"/>
      <c r="B86" s="702"/>
      <c r="C86" s="673"/>
      <c r="D86" s="673"/>
      <c r="E86" s="673"/>
      <c r="F86" s="673"/>
      <c r="G86" s="673"/>
      <c r="H86" s="673"/>
      <c r="I86" s="673"/>
      <c r="J86" s="673"/>
      <c r="K86" s="673"/>
      <c r="L86" s="673"/>
      <c r="M86" s="673"/>
      <c r="N86" s="370"/>
      <c r="O86" s="185"/>
      <c r="P86" s="185"/>
      <c r="Q86" s="185"/>
      <c r="R86" s="185"/>
    </row>
    <row r="87" spans="1:18" ht="15.75" customHeight="1">
      <c r="A87" s="185"/>
      <c r="B87" s="1227"/>
      <c r="C87" s="673" t="s">
        <v>632</v>
      </c>
      <c r="D87" s="920">
        <f t="shared" ref="D87:M87" si="14">SUM(D74:D85)</f>
        <v>0</v>
      </c>
      <c r="E87" s="920">
        <f t="shared" si="14"/>
        <v>0</v>
      </c>
      <c r="F87" s="920">
        <f t="shared" si="14"/>
        <v>0</v>
      </c>
      <c r="G87" s="920">
        <f>SUM(G74:G85)</f>
        <v>0</v>
      </c>
      <c r="H87" s="920">
        <f t="shared" si="14"/>
        <v>0</v>
      </c>
      <c r="I87" s="920">
        <f t="shared" si="14"/>
        <v>0</v>
      </c>
      <c r="J87" s="920">
        <f t="shared" si="14"/>
        <v>0</v>
      </c>
      <c r="K87" s="920">
        <f t="shared" si="14"/>
        <v>0</v>
      </c>
      <c r="L87" s="920">
        <f t="shared" si="14"/>
        <v>0</v>
      </c>
      <c r="M87" s="920">
        <f t="shared" si="14"/>
        <v>0</v>
      </c>
      <c r="N87" s="370"/>
      <c r="O87" s="185"/>
      <c r="P87" s="185"/>
      <c r="Q87" s="185"/>
      <c r="R87" s="185"/>
    </row>
    <row r="88" spans="1:18" ht="15.75" customHeight="1">
      <c r="A88" s="185"/>
      <c r="B88" s="1227"/>
      <c r="C88" s="673"/>
      <c r="D88" s="1263" t="s">
        <v>593</v>
      </c>
      <c r="E88" s="1263" t="s">
        <v>593</v>
      </c>
      <c r="F88" s="1263" t="s">
        <v>593</v>
      </c>
      <c r="G88" s="1263" t="s">
        <v>593</v>
      </c>
      <c r="H88" s="1263" t="s">
        <v>593</v>
      </c>
      <c r="I88" s="1263"/>
      <c r="J88" s="1263"/>
      <c r="K88" s="1263" t="s">
        <v>593</v>
      </c>
      <c r="L88" s="1263" t="s">
        <v>593</v>
      </c>
      <c r="M88" s="1263" t="s">
        <v>593</v>
      </c>
      <c r="N88" s="370"/>
      <c r="O88" s="185"/>
      <c r="P88" s="185"/>
      <c r="Q88" s="185"/>
      <c r="R88" s="185"/>
    </row>
    <row r="89" spans="1:18" ht="13.5" thickBot="1">
      <c r="A89" s="185"/>
      <c r="B89" s="1227"/>
      <c r="C89" s="673" t="s">
        <v>645</v>
      </c>
      <c r="D89" s="739">
        <f>ROUND(SUM(D16+D27+D37+D46+D71+D87),0)</f>
        <v>81715918</v>
      </c>
      <c r="E89" s="739">
        <f t="shared" ref="E89:M89" si="15">SUM(E16+E27+E37+E46+E71+E87)</f>
        <v>1535807</v>
      </c>
      <c r="F89" s="739">
        <f t="shared" si="15"/>
        <v>404322</v>
      </c>
      <c r="G89" s="739">
        <f t="shared" si="15"/>
        <v>0</v>
      </c>
      <c r="H89" s="739">
        <f t="shared" si="15"/>
        <v>82847403</v>
      </c>
      <c r="I89" s="739">
        <f t="shared" si="15"/>
        <v>0</v>
      </c>
      <c r="J89" s="739">
        <f t="shared" si="15"/>
        <v>0</v>
      </c>
      <c r="K89" s="739">
        <f t="shared" si="15"/>
        <v>1535807</v>
      </c>
      <c r="L89" s="739">
        <f t="shared" si="15"/>
        <v>139444</v>
      </c>
      <c r="M89" s="739">
        <f t="shared" si="15"/>
        <v>84243766</v>
      </c>
      <c r="N89" s="370"/>
      <c r="O89" s="185"/>
      <c r="P89" s="185"/>
      <c r="Q89" s="185"/>
      <c r="R89" s="185"/>
    </row>
    <row r="90" spans="1:18" ht="10.9" customHeight="1" thickTop="1">
      <c r="A90" s="185"/>
      <c r="B90" s="1227"/>
      <c r="C90" s="673"/>
      <c r="D90" s="738"/>
      <c r="E90" s="738"/>
      <c r="F90" s="738"/>
      <c r="G90" s="738"/>
      <c r="H90" s="738"/>
      <c r="I90" s="738"/>
      <c r="J90" s="738"/>
      <c r="K90" s="738"/>
      <c r="L90" s="738"/>
      <c r="M90" s="738"/>
      <c r="N90" s="370"/>
      <c r="O90" s="185"/>
      <c r="P90" s="185"/>
      <c r="Q90" s="185"/>
      <c r="R90" s="185"/>
    </row>
    <row r="91" spans="1:18" ht="12.75" customHeight="1">
      <c r="A91" s="185"/>
      <c r="B91" s="702" t="s">
        <v>646</v>
      </c>
      <c r="C91" s="344"/>
      <c r="D91" s="731"/>
      <c r="E91" s="673"/>
      <c r="F91" s="673"/>
      <c r="G91" s="673"/>
      <c r="H91" s="673"/>
      <c r="I91" s="673"/>
      <c r="J91" s="673"/>
      <c r="K91" s="673"/>
      <c r="L91" s="673"/>
      <c r="M91" s="673"/>
      <c r="N91" s="370"/>
      <c r="O91" s="185"/>
      <c r="P91" s="185"/>
      <c r="Q91" s="185"/>
      <c r="R91" s="185"/>
    </row>
    <row r="92" spans="1:18" ht="12.75" customHeight="1">
      <c r="A92" s="185"/>
      <c r="B92" s="552"/>
      <c r="C92" s="344"/>
      <c r="D92" s="731"/>
      <c r="E92" s="673"/>
      <c r="F92" s="673"/>
      <c r="G92" s="673"/>
      <c r="H92" s="673"/>
      <c r="I92" s="673"/>
      <c r="J92" s="673"/>
      <c r="K92" s="1018"/>
      <c r="L92" s="1233" t="s">
        <v>1044</v>
      </c>
      <c r="M92" s="1018"/>
      <c r="N92" s="370"/>
      <c r="O92" s="185"/>
      <c r="P92" s="185"/>
      <c r="Q92" s="185"/>
      <c r="R92" s="185"/>
    </row>
    <row r="93" spans="1:18" ht="12.75" customHeight="1">
      <c r="A93" s="185"/>
      <c r="B93" s="702" t="s">
        <v>487</v>
      </c>
      <c r="C93" s="677" t="s">
        <v>996</v>
      </c>
      <c r="D93" s="731"/>
      <c r="E93" s="731"/>
      <c r="F93" s="731"/>
      <c r="G93" s="731"/>
      <c r="H93" s="731"/>
      <c r="I93" s="731"/>
      <c r="J93" s="731"/>
      <c r="K93" s="2035"/>
      <c r="L93" s="2036"/>
      <c r="M93" s="2037"/>
      <c r="N93" s="370"/>
      <c r="O93" s="185"/>
      <c r="P93" s="185"/>
      <c r="Q93" s="185"/>
      <c r="R93" s="185"/>
    </row>
    <row r="94" spans="1:18" ht="12.75" customHeight="1">
      <c r="A94" s="185"/>
      <c r="B94" s="845"/>
      <c r="C94" s="673" t="s">
        <v>647</v>
      </c>
      <c r="D94" s="731"/>
      <c r="E94" s="731"/>
      <c r="F94" s="731"/>
      <c r="G94" s="731"/>
      <c r="H94" s="731"/>
      <c r="I94" s="731"/>
      <c r="J94" s="731"/>
      <c r="K94" s="2038"/>
      <c r="L94" s="2039"/>
      <c r="M94" s="2040"/>
      <c r="N94" s="370"/>
      <c r="O94" s="185"/>
      <c r="P94" s="185"/>
      <c r="Q94" s="185"/>
      <c r="R94" s="185"/>
    </row>
    <row r="95" spans="1:18" ht="12.75" customHeight="1">
      <c r="A95" s="185"/>
      <c r="B95" s="845"/>
      <c r="C95" s="703" t="s">
        <v>997</v>
      </c>
      <c r="D95" s="731"/>
      <c r="E95" s="731"/>
      <c r="F95" s="731"/>
      <c r="G95" s="731"/>
      <c r="H95" s="731"/>
      <c r="I95" s="731"/>
      <c r="J95" s="731"/>
      <c r="K95" s="344"/>
      <c r="L95" s="344"/>
      <c r="M95" s="344"/>
      <c r="N95" s="370"/>
      <c r="O95" s="185"/>
      <c r="P95" s="185"/>
      <c r="Q95" s="185"/>
      <c r="R95" s="185"/>
    </row>
    <row r="96" spans="1:18" ht="13.5" thickBot="1">
      <c r="A96" s="185"/>
      <c r="B96" s="384"/>
      <c r="C96" s="385"/>
      <c r="D96" s="385"/>
      <c r="E96" s="818"/>
      <c r="F96" s="818"/>
      <c r="G96" s="818"/>
      <c r="H96" s="818"/>
      <c r="I96" s="818"/>
      <c r="J96" s="818"/>
      <c r="K96" s="385"/>
      <c r="L96" s="385"/>
      <c r="M96" s="385"/>
      <c r="N96" s="386"/>
      <c r="O96" s="185"/>
      <c r="P96" s="185"/>
      <c r="Q96" s="185"/>
      <c r="R96" s="185"/>
    </row>
    <row r="97" spans="1:18" ht="13.5" thickTop="1">
      <c r="A97" s="185"/>
      <c r="B97" s="661"/>
      <c r="C97" s="185"/>
      <c r="D97" s="186"/>
      <c r="E97" s="186"/>
      <c r="F97" s="186"/>
      <c r="G97" s="186"/>
      <c r="H97" s="186"/>
      <c r="I97" s="186"/>
      <c r="J97" s="186"/>
      <c r="K97" s="185"/>
      <c r="L97" s="185"/>
      <c r="M97" s="185"/>
      <c r="N97" s="185"/>
      <c r="O97" s="185"/>
      <c r="P97" s="185"/>
      <c r="Q97" s="185"/>
      <c r="R97" s="185"/>
    </row>
    <row r="98" spans="1:18">
      <c r="A98" s="185"/>
      <c r="B98" s="661"/>
      <c r="C98" s="185"/>
      <c r="D98" s="186"/>
      <c r="E98" s="186"/>
      <c r="F98" s="186"/>
      <c r="G98" s="186"/>
      <c r="H98" s="186"/>
      <c r="I98" s="186"/>
      <c r="J98" s="186"/>
      <c r="K98" s="185"/>
      <c r="L98" s="185"/>
      <c r="M98" s="185"/>
      <c r="N98" s="185"/>
      <c r="O98" s="185"/>
      <c r="P98" s="185"/>
      <c r="Q98" s="185"/>
      <c r="R98" s="185"/>
    </row>
    <row r="99" spans="1:18">
      <c r="A99" s="185"/>
      <c r="B99" s="661"/>
      <c r="C99" s="185"/>
      <c r="D99" s="186"/>
      <c r="E99" s="186"/>
      <c r="F99" s="186"/>
      <c r="G99" s="186"/>
      <c r="H99" s="186"/>
      <c r="I99" s="186"/>
      <c r="J99" s="186"/>
      <c r="K99" s="185"/>
      <c r="L99" s="185"/>
      <c r="M99" s="185"/>
      <c r="N99" s="185"/>
      <c r="O99" s="185"/>
      <c r="P99" s="185"/>
      <c r="Q99" s="185"/>
      <c r="R99" s="185"/>
    </row>
    <row r="100" spans="1:18">
      <c r="A100" s="185"/>
      <c r="B100" s="661"/>
      <c r="C100" s="185"/>
      <c r="D100" s="186"/>
      <c r="E100" s="186"/>
      <c r="F100" s="186"/>
      <c r="G100" s="186"/>
      <c r="H100" s="186"/>
      <c r="I100" s="186"/>
      <c r="J100" s="186"/>
      <c r="K100" s="185"/>
      <c r="L100" s="185"/>
      <c r="M100" s="185"/>
      <c r="N100" s="185"/>
      <c r="O100" s="185"/>
      <c r="P100" s="185"/>
      <c r="Q100" s="185"/>
      <c r="R100" s="185"/>
    </row>
    <row r="101" spans="1:18">
      <c r="A101" s="185"/>
      <c r="B101" s="661"/>
      <c r="C101" s="185"/>
      <c r="D101" s="186"/>
      <c r="E101" s="186"/>
      <c r="F101" s="186"/>
      <c r="G101" s="186"/>
      <c r="H101" s="186"/>
      <c r="I101" s="186"/>
      <c r="J101" s="186"/>
      <c r="K101" s="185"/>
      <c r="L101" s="185"/>
      <c r="M101" s="185"/>
      <c r="N101" s="185"/>
      <c r="O101" s="185"/>
      <c r="P101" s="185"/>
      <c r="Q101" s="185"/>
      <c r="R101" s="185"/>
    </row>
    <row r="102" spans="1:18">
      <c r="A102" s="185"/>
      <c r="B102" s="661"/>
      <c r="C102" s="185"/>
      <c r="D102" s="186"/>
      <c r="E102" s="186"/>
      <c r="F102" s="186"/>
      <c r="G102" s="186"/>
      <c r="H102" s="186"/>
      <c r="I102" s="186"/>
      <c r="J102" s="186"/>
      <c r="K102" s="185"/>
      <c r="L102" s="185"/>
      <c r="M102" s="185"/>
      <c r="N102" s="185"/>
      <c r="O102" s="185"/>
      <c r="P102" s="185"/>
      <c r="Q102" s="185"/>
      <c r="R102" s="185"/>
    </row>
    <row r="103" spans="1:18">
      <c r="A103" s="185"/>
      <c r="B103" s="661"/>
      <c r="C103" s="185"/>
      <c r="D103" s="186"/>
      <c r="E103" s="186"/>
      <c r="F103" s="186"/>
      <c r="G103" s="186"/>
      <c r="H103" s="186"/>
      <c r="I103" s="186"/>
      <c r="J103" s="186"/>
      <c r="K103" s="185"/>
      <c r="L103" s="185"/>
      <c r="M103" s="185"/>
      <c r="N103" s="185"/>
      <c r="O103" s="185"/>
      <c r="P103" s="185"/>
      <c r="Q103" s="185"/>
      <c r="R103" s="185"/>
    </row>
    <row r="104" spans="1:18">
      <c r="A104" s="185"/>
      <c r="B104" s="661"/>
      <c r="C104" s="185"/>
      <c r="D104" s="186"/>
      <c r="E104" s="186"/>
      <c r="F104" s="186"/>
      <c r="G104" s="186"/>
      <c r="H104" s="186"/>
      <c r="I104" s="186"/>
      <c r="J104" s="186"/>
      <c r="K104" s="185"/>
      <c r="L104" s="185"/>
      <c r="M104" s="185"/>
      <c r="N104" s="185"/>
      <c r="O104" s="185"/>
      <c r="P104" s="185"/>
      <c r="Q104" s="185"/>
      <c r="R104" s="185"/>
    </row>
    <row r="105" spans="1:18">
      <c r="A105" s="185"/>
      <c r="B105" s="661"/>
      <c r="C105" s="185"/>
      <c r="D105" s="186"/>
      <c r="E105" s="186"/>
      <c r="F105" s="186"/>
      <c r="G105" s="186"/>
      <c r="H105" s="186"/>
      <c r="I105" s="186"/>
      <c r="J105" s="186"/>
      <c r="K105" s="185"/>
      <c r="L105" s="185"/>
      <c r="M105" s="185"/>
      <c r="N105" s="185"/>
      <c r="O105" s="185"/>
      <c r="P105" s="185"/>
      <c r="Q105" s="185"/>
      <c r="R105" s="185"/>
    </row>
    <row r="106" spans="1:18">
      <c r="A106" s="185"/>
      <c r="B106" s="661"/>
      <c r="C106" s="185"/>
      <c r="D106" s="186"/>
      <c r="E106" s="186"/>
      <c r="F106" s="186"/>
      <c r="G106" s="186"/>
      <c r="H106" s="186"/>
      <c r="I106" s="186"/>
      <c r="J106" s="186"/>
      <c r="K106" s="185"/>
      <c r="L106" s="185"/>
      <c r="M106" s="185"/>
      <c r="N106" s="185"/>
      <c r="O106" s="185"/>
      <c r="P106" s="185"/>
      <c r="Q106" s="185"/>
      <c r="R106" s="185"/>
    </row>
    <row r="107" spans="1:18">
      <c r="A107" s="185"/>
      <c r="B107" s="661"/>
      <c r="C107" s="185"/>
      <c r="D107" s="186"/>
      <c r="E107" s="186"/>
      <c r="F107" s="186"/>
      <c r="G107" s="186"/>
      <c r="H107" s="186"/>
      <c r="I107" s="186"/>
      <c r="J107" s="186"/>
      <c r="K107" s="185"/>
      <c r="L107" s="185"/>
      <c r="M107" s="185"/>
      <c r="N107" s="185"/>
      <c r="O107" s="185"/>
      <c r="P107" s="185"/>
      <c r="Q107" s="185"/>
      <c r="R107" s="185"/>
    </row>
    <row r="108" spans="1:18">
      <c r="A108" s="185"/>
      <c r="B108" s="661"/>
      <c r="C108" s="185"/>
      <c r="D108" s="186"/>
      <c r="E108" s="186"/>
      <c r="F108" s="186"/>
      <c r="G108" s="186"/>
      <c r="H108" s="186"/>
      <c r="I108" s="186"/>
      <c r="J108" s="186"/>
      <c r="K108" s="185"/>
      <c r="L108" s="185"/>
      <c r="M108" s="185"/>
      <c r="N108" s="185"/>
      <c r="O108" s="185"/>
      <c r="P108" s="185"/>
      <c r="Q108" s="185"/>
      <c r="R108" s="185"/>
    </row>
    <row r="109" spans="1:18">
      <c r="A109" s="185"/>
      <c r="B109" s="661"/>
      <c r="C109" s="185"/>
      <c r="D109" s="186"/>
      <c r="E109" s="186"/>
      <c r="F109" s="186"/>
      <c r="G109" s="186"/>
      <c r="H109" s="186"/>
      <c r="I109" s="186"/>
      <c r="J109" s="186"/>
      <c r="K109" s="185"/>
      <c r="L109" s="185"/>
      <c r="M109" s="185"/>
      <c r="N109" s="185"/>
      <c r="O109" s="185"/>
      <c r="P109" s="185"/>
      <c r="Q109" s="185"/>
      <c r="R109" s="185"/>
    </row>
    <row r="110" spans="1:18">
      <c r="A110" s="185"/>
      <c r="B110" s="661"/>
      <c r="C110" s="185"/>
      <c r="D110" s="186"/>
      <c r="E110" s="186"/>
      <c r="F110" s="186"/>
      <c r="G110" s="186"/>
      <c r="H110" s="186"/>
      <c r="I110" s="186"/>
      <c r="J110" s="186"/>
      <c r="K110" s="185"/>
      <c r="L110" s="185"/>
      <c r="M110" s="185"/>
      <c r="N110" s="185"/>
      <c r="O110" s="185"/>
      <c r="P110" s="185"/>
      <c r="Q110" s="185"/>
      <c r="R110" s="185"/>
    </row>
    <row r="111" spans="1:18">
      <c r="A111" s="185"/>
      <c r="B111" s="661"/>
      <c r="C111" s="185"/>
      <c r="D111" s="186"/>
      <c r="E111" s="186"/>
      <c r="F111" s="186"/>
      <c r="G111" s="186"/>
      <c r="H111" s="186"/>
      <c r="I111" s="186"/>
      <c r="J111" s="186"/>
      <c r="K111" s="185"/>
      <c r="L111" s="185"/>
      <c r="M111" s="185"/>
      <c r="N111" s="185"/>
      <c r="O111" s="185"/>
      <c r="P111" s="185"/>
      <c r="Q111" s="185"/>
      <c r="R111" s="185"/>
    </row>
    <row r="112" spans="1:18">
      <c r="A112" s="185"/>
      <c r="B112" s="661"/>
      <c r="C112" s="185"/>
      <c r="D112" s="186"/>
      <c r="E112" s="186"/>
      <c r="F112" s="186"/>
      <c r="G112" s="186"/>
      <c r="H112" s="186"/>
      <c r="I112" s="186"/>
      <c r="J112" s="186"/>
      <c r="K112" s="185"/>
      <c r="L112" s="185"/>
      <c r="M112" s="185"/>
      <c r="N112" s="185"/>
      <c r="O112" s="185"/>
      <c r="P112" s="185"/>
      <c r="Q112" s="185"/>
      <c r="R112" s="185"/>
    </row>
    <row r="113" spans="1:18">
      <c r="A113" s="185"/>
      <c r="B113" s="661"/>
      <c r="C113" s="185"/>
      <c r="D113" s="186"/>
      <c r="E113" s="186"/>
      <c r="F113" s="186"/>
      <c r="G113" s="186"/>
      <c r="H113" s="186"/>
      <c r="I113" s="186"/>
      <c r="J113" s="186"/>
      <c r="K113" s="185"/>
      <c r="L113" s="185"/>
      <c r="M113" s="185"/>
      <c r="N113" s="185"/>
      <c r="O113" s="185"/>
      <c r="P113" s="185"/>
      <c r="Q113" s="185"/>
      <c r="R113" s="185"/>
    </row>
    <row r="114" spans="1:18">
      <c r="A114" s="185"/>
      <c r="B114" s="661"/>
      <c r="C114" s="185"/>
      <c r="D114" s="186"/>
      <c r="E114" s="186"/>
      <c r="F114" s="186"/>
      <c r="G114" s="186"/>
      <c r="H114" s="186"/>
      <c r="I114" s="186"/>
      <c r="J114" s="186"/>
      <c r="K114" s="185"/>
      <c r="L114" s="185"/>
      <c r="M114" s="185"/>
      <c r="N114" s="185"/>
      <c r="O114" s="185"/>
      <c r="P114" s="185"/>
      <c r="Q114" s="185"/>
      <c r="R114" s="185"/>
    </row>
    <row r="115" spans="1:18">
      <c r="A115" s="185"/>
      <c r="B115" s="661"/>
      <c r="C115" s="185"/>
      <c r="D115" s="186"/>
      <c r="E115" s="186"/>
      <c r="F115" s="186"/>
      <c r="G115" s="186"/>
      <c r="H115" s="186"/>
      <c r="I115" s="186"/>
      <c r="J115" s="186"/>
      <c r="K115" s="185"/>
      <c r="L115" s="185"/>
      <c r="M115" s="185"/>
      <c r="N115" s="185"/>
      <c r="O115" s="185"/>
      <c r="P115" s="185"/>
      <c r="Q115" s="185"/>
      <c r="R115" s="185"/>
    </row>
    <row r="116" spans="1:18">
      <c r="A116" s="185"/>
      <c r="B116" s="661"/>
      <c r="C116" s="185"/>
      <c r="D116" s="186"/>
      <c r="E116" s="186"/>
      <c r="F116" s="186"/>
      <c r="G116" s="186"/>
      <c r="H116" s="186"/>
      <c r="I116" s="186"/>
      <c r="J116" s="186"/>
      <c r="K116" s="185"/>
      <c r="L116" s="185"/>
      <c r="M116" s="185"/>
      <c r="N116" s="185"/>
      <c r="O116" s="185"/>
      <c r="P116" s="185"/>
      <c r="Q116" s="185"/>
      <c r="R116" s="185"/>
    </row>
    <row r="117" spans="1:18">
      <c r="A117" s="185"/>
      <c r="B117" s="661"/>
      <c r="C117" s="185"/>
      <c r="D117" s="186"/>
      <c r="E117" s="186"/>
      <c r="F117" s="186"/>
      <c r="G117" s="186"/>
      <c r="H117" s="186"/>
      <c r="I117" s="186"/>
      <c r="J117" s="186"/>
      <c r="K117" s="185"/>
      <c r="L117" s="185"/>
      <c r="M117" s="185"/>
      <c r="N117" s="185"/>
      <c r="O117" s="185"/>
      <c r="P117" s="185"/>
      <c r="Q117" s="185"/>
      <c r="R117" s="185"/>
    </row>
    <row r="118" spans="1:18">
      <c r="A118" s="185"/>
      <c r="B118" s="661"/>
      <c r="C118" s="185"/>
      <c r="D118" s="186"/>
      <c r="E118" s="186"/>
      <c r="F118" s="186"/>
      <c r="G118" s="186"/>
      <c r="H118" s="186"/>
      <c r="I118" s="186"/>
      <c r="J118" s="186"/>
      <c r="K118" s="185"/>
      <c r="L118" s="185"/>
      <c r="M118" s="185"/>
      <c r="N118" s="185"/>
      <c r="O118" s="185"/>
      <c r="P118" s="185"/>
      <c r="Q118" s="185"/>
      <c r="R118" s="185"/>
    </row>
    <row r="119" spans="1:18">
      <c r="A119" s="185"/>
      <c r="B119" s="661"/>
      <c r="C119" s="185"/>
      <c r="D119" s="186"/>
      <c r="E119" s="186"/>
      <c r="F119" s="186"/>
      <c r="G119" s="186"/>
      <c r="H119" s="186"/>
      <c r="I119" s="186"/>
      <c r="J119" s="186"/>
      <c r="K119" s="185"/>
      <c r="L119" s="185"/>
      <c r="M119" s="185"/>
      <c r="N119" s="185"/>
      <c r="O119" s="185"/>
      <c r="P119" s="185"/>
      <c r="Q119" s="185"/>
      <c r="R119" s="185"/>
    </row>
    <row r="120" spans="1:18">
      <c r="A120" s="185"/>
      <c r="B120" s="661"/>
      <c r="C120" s="185"/>
      <c r="D120" s="186"/>
      <c r="E120" s="186"/>
      <c r="F120" s="186"/>
      <c r="G120" s="186"/>
      <c r="H120" s="186"/>
      <c r="I120" s="186"/>
      <c r="J120" s="186"/>
      <c r="K120" s="185"/>
      <c r="L120" s="185"/>
      <c r="M120" s="185"/>
      <c r="N120" s="185"/>
      <c r="O120" s="185"/>
      <c r="P120" s="185"/>
      <c r="Q120" s="185"/>
      <c r="R120" s="185"/>
    </row>
    <row r="121" spans="1:18">
      <c r="A121" s="185"/>
      <c r="B121" s="661"/>
      <c r="C121" s="185"/>
      <c r="D121" s="186"/>
      <c r="E121" s="186"/>
      <c r="F121" s="186"/>
      <c r="G121" s="186"/>
      <c r="H121" s="186"/>
      <c r="I121" s="186"/>
      <c r="J121" s="186"/>
      <c r="K121" s="185"/>
      <c r="L121" s="185"/>
      <c r="M121" s="185"/>
      <c r="N121" s="185"/>
      <c r="O121" s="185"/>
      <c r="P121" s="185"/>
      <c r="Q121" s="185"/>
      <c r="R121" s="185"/>
    </row>
    <row r="122" spans="1:18">
      <c r="A122" s="185"/>
      <c r="B122" s="661"/>
      <c r="C122" s="185"/>
      <c r="D122" s="186"/>
      <c r="E122" s="186"/>
      <c r="F122" s="186"/>
      <c r="G122" s="186"/>
      <c r="H122" s="186"/>
      <c r="I122" s="186"/>
      <c r="J122" s="186"/>
      <c r="K122" s="185"/>
      <c r="L122" s="185"/>
      <c r="M122" s="185"/>
      <c r="N122" s="185"/>
      <c r="O122" s="185"/>
      <c r="P122" s="185"/>
      <c r="Q122" s="185"/>
      <c r="R122" s="185"/>
    </row>
    <row r="123" spans="1:18">
      <c r="A123" s="185"/>
      <c r="B123" s="661"/>
      <c r="C123" s="185"/>
      <c r="D123" s="186"/>
      <c r="E123" s="186"/>
      <c r="F123" s="186"/>
      <c r="G123" s="186"/>
      <c r="H123" s="186"/>
      <c r="I123" s="186"/>
      <c r="J123" s="186"/>
      <c r="K123" s="185"/>
      <c r="L123" s="185"/>
      <c r="M123" s="185"/>
      <c r="N123" s="185"/>
      <c r="O123" s="185"/>
      <c r="P123" s="185"/>
      <c r="Q123" s="185"/>
      <c r="R123" s="185"/>
    </row>
    <row r="124" spans="1:18">
      <c r="A124" s="185"/>
      <c r="B124" s="661"/>
      <c r="C124" s="185"/>
      <c r="D124" s="186"/>
      <c r="E124" s="186"/>
      <c r="F124" s="186"/>
      <c r="G124" s="186"/>
      <c r="H124" s="186"/>
      <c r="I124" s="186"/>
      <c r="J124" s="186"/>
      <c r="K124" s="185"/>
      <c r="L124" s="185"/>
      <c r="M124" s="185"/>
      <c r="N124" s="185"/>
      <c r="O124" s="185"/>
      <c r="P124" s="185"/>
      <c r="Q124" s="185"/>
      <c r="R124" s="185"/>
    </row>
    <row r="125" spans="1:18">
      <c r="A125" s="185"/>
      <c r="B125" s="661"/>
      <c r="C125" s="185"/>
      <c r="D125" s="186"/>
      <c r="E125" s="186"/>
      <c r="F125" s="186"/>
      <c r="G125" s="186"/>
      <c r="H125" s="186"/>
      <c r="I125" s="186"/>
      <c r="J125" s="186"/>
      <c r="K125" s="185"/>
      <c r="L125" s="185"/>
      <c r="M125" s="185"/>
      <c r="N125" s="185"/>
      <c r="O125" s="185"/>
      <c r="P125" s="185"/>
      <c r="Q125" s="185"/>
      <c r="R125" s="185"/>
    </row>
    <row r="126" spans="1:18">
      <c r="A126" s="185"/>
      <c r="B126" s="661"/>
      <c r="C126" s="185"/>
      <c r="D126" s="186"/>
      <c r="E126" s="186"/>
      <c r="F126" s="186"/>
      <c r="G126" s="186"/>
      <c r="H126" s="186"/>
      <c r="I126" s="186"/>
      <c r="J126" s="186"/>
      <c r="K126" s="185"/>
      <c r="L126" s="185"/>
      <c r="M126" s="185"/>
      <c r="N126" s="185"/>
      <c r="O126" s="185"/>
      <c r="P126" s="185"/>
      <c r="Q126" s="185"/>
      <c r="R126" s="185"/>
    </row>
    <row r="127" spans="1:18">
      <c r="A127" s="185"/>
      <c r="B127" s="661"/>
      <c r="C127" s="185"/>
      <c r="D127" s="186"/>
      <c r="E127" s="186"/>
      <c r="F127" s="186"/>
      <c r="G127" s="186"/>
      <c r="H127" s="186"/>
      <c r="I127" s="186"/>
      <c r="J127" s="186"/>
      <c r="K127" s="185"/>
      <c r="L127" s="185"/>
      <c r="M127" s="185"/>
      <c r="N127" s="185"/>
      <c r="O127" s="185"/>
      <c r="P127" s="185"/>
      <c r="Q127" s="185"/>
      <c r="R127" s="185"/>
    </row>
    <row r="128" spans="1:18">
      <c r="A128" s="185"/>
      <c r="B128" s="661"/>
      <c r="C128" s="185"/>
      <c r="D128" s="186"/>
      <c r="E128" s="186"/>
      <c r="F128" s="186"/>
      <c r="G128" s="186"/>
      <c r="H128" s="186"/>
      <c r="I128" s="186"/>
      <c r="J128" s="186"/>
      <c r="K128" s="185"/>
      <c r="L128" s="185"/>
      <c r="M128" s="185"/>
      <c r="N128" s="185"/>
      <c r="O128" s="185"/>
      <c r="P128" s="185"/>
      <c r="Q128" s="185"/>
      <c r="R128" s="185"/>
    </row>
    <row r="129" spans="1:18">
      <c r="A129" s="185"/>
      <c r="B129" s="661"/>
      <c r="C129" s="185"/>
      <c r="D129" s="186"/>
      <c r="E129" s="186"/>
      <c r="F129" s="186"/>
      <c r="G129" s="186"/>
      <c r="H129" s="186"/>
      <c r="I129" s="186"/>
      <c r="J129" s="186"/>
      <c r="K129" s="185"/>
      <c r="L129" s="185"/>
      <c r="M129" s="185"/>
      <c r="N129" s="185"/>
      <c r="O129" s="185"/>
      <c r="P129" s="185"/>
      <c r="Q129" s="185"/>
      <c r="R129" s="185"/>
    </row>
    <row r="130" spans="1:18">
      <c r="A130" s="185"/>
      <c r="B130" s="661"/>
      <c r="C130" s="185"/>
      <c r="D130" s="186"/>
      <c r="E130" s="186"/>
      <c r="F130" s="186"/>
      <c r="G130" s="186"/>
      <c r="H130" s="186"/>
      <c r="I130" s="186"/>
      <c r="J130" s="186"/>
      <c r="K130" s="185"/>
      <c r="L130" s="185"/>
      <c r="M130" s="185"/>
      <c r="N130" s="185"/>
      <c r="O130" s="185"/>
      <c r="P130" s="185"/>
      <c r="Q130" s="185"/>
      <c r="R130" s="185"/>
    </row>
    <row r="131" spans="1:18">
      <c r="A131" s="185"/>
      <c r="B131" s="661"/>
      <c r="C131" s="185"/>
      <c r="D131" s="186"/>
      <c r="E131" s="186"/>
      <c r="F131" s="186"/>
      <c r="G131" s="186"/>
      <c r="H131" s="186"/>
      <c r="I131" s="186"/>
      <c r="J131" s="186"/>
      <c r="K131" s="185"/>
      <c r="L131" s="185"/>
      <c r="M131" s="185"/>
      <c r="N131" s="185"/>
      <c r="O131" s="185"/>
      <c r="P131" s="185"/>
      <c r="Q131" s="185"/>
      <c r="R131" s="185"/>
    </row>
    <row r="132" spans="1:18">
      <c r="A132" s="185"/>
      <c r="B132" s="661"/>
      <c r="C132" s="185"/>
      <c r="D132" s="186"/>
      <c r="E132" s="186"/>
      <c r="F132" s="186"/>
      <c r="G132" s="186"/>
      <c r="H132" s="186"/>
      <c r="I132" s="186"/>
      <c r="J132" s="186"/>
      <c r="K132" s="185"/>
      <c r="L132" s="185"/>
      <c r="M132" s="185"/>
      <c r="N132" s="185"/>
      <c r="O132" s="185"/>
      <c r="P132" s="185"/>
      <c r="Q132" s="185"/>
      <c r="R132" s="185"/>
    </row>
    <row r="133" spans="1:18">
      <c r="A133" s="185"/>
      <c r="B133" s="661"/>
      <c r="C133" s="185"/>
      <c r="D133" s="186"/>
      <c r="E133" s="186"/>
      <c r="F133" s="186"/>
      <c r="G133" s="186"/>
      <c r="H133" s="186"/>
      <c r="I133" s="186"/>
      <c r="J133" s="186"/>
      <c r="K133" s="185"/>
      <c r="L133" s="185"/>
      <c r="M133" s="185"/>
      <c r="N133" s="185"/>
      <c r="O133" s="185"/>
      <c r="P133" s="185"/>
      <c r="Q133" s="185"/>
      <c r="R133" s="185"/>
    </row>
    <row r="134" spans="1:18">
      <c r="A134" s="185"/>
      <c r="B134" s="661"/>
      <c r="C134" s="185"/>
      <c r="D134" s="186"/>
      <c r="E134" s="186"/>
      <c r="F134" s="186"/>
      <c r="G134" s="186"/>
      <c r="H134" s="186"/>
      <c r="I134" s="186"/>
      <c r="J134" s="186"/>
      <c r="K134" s="185"/>
      <c r="L134" s="185"/>
      <c r="M134" s="185"/>
      <c r="N134" s="185"/>
      <c r="O134" s="185"/>
      <c r="P134" s="185"/>
      <c r="Q134" s="185"/>
      <c r="R134" s="185"/>
    </row>
    <row r="135" spans="1:18">
      <c r="A135" s="185"/>
      <c r="B135" s="661"/>
      <c r="C135" s="185"/>
      <c r="D135" s="186"/>
      <c r="E135" s="186"/>
      <c r="F135" s="186"/>
      <c r="G135" s="186"/>
      <c r="H135" s="186"/>
      <c r="I135" s="186"/>
      <c r="J135" s="186"/>
      <c r="K135" s="185"/>
      <c r="L135" s="185"/>
      <c r="M135" s="185"/>
      <c r="N135" s="185"/>
      <c r="O135" s="185"/>
      <c r="P135" s="185"/>
      <c r="Q135" s="185"/>
      <c r="R135" s="185"/>
    </row>
    <row r="136" spans="1:18">
      <c r="A136" s="185"/>
      <c r="B136" s="661"/>
      <c r="C136" s="185"/>
      <c r="D136" s="186"/>
      <c r="E136" s="186"/>
      <c r="F136" s="186"/>
      <c r="G136" s="186"/>
      <c r="H136" s="186"/>
      <c r="I136" s="186"/>
      <c r="J136" s="186"/>
      <c r="K136" s="185"/>
      <c r="L136" s="185"/>
      <c r="M136" s="185"/>
      <c r="N136" s="185"/>
      <c r="O136" s="185"/>
      <c r="P136" s="185"/>
      <c r="Q136" s="185"/>
      <c r="R136" s="185"/>
    </row>
    <row r="137" spans="1:18">
      <c r="A137" s="185"/>
      <c r="B137" s="661"/>
      <c r="C137" s="185"/>
      <c r="D137" s="186"/>
      <c r="E137" s="186"/>
      <c r="F137" s="186"/>
      <c r="G137" s="186"/>
      <c r="H137" s="186"/>
      <c r="I137" s="186"/>
      <c r="J137" s="186"/>
      <c r="K137" s="185"/>
      <c r="L137" s="185"/>
      <c r="M137" s="185"/>
      <c r="N137" s="185"/>
      <c r="O137" s="185"/>
      <c r="P137" s="185"/>
      <c r="Q137" s="185"/>
      <c r="R137" s="185"/>
    </row>
    <row r="138" spans="1:18">
      <c r="A138" s="185"/>
      <c r="B138" s="661"/>
      <c r="C138" s="185"/>
      <c r="D138" s="186"/>
      <c r="E138" s="186"/>
      <c r="F138" s="186"/>
      <c r="G138" s="186"/>
      <c r="H138" s="186"/>
      <c r="I138" s="186"/>
      <c r="J138" s="186"/>
      <c r="K138" s="185"/>
      <c r="L138" s="185"/>
      <c r="M138" s="185"/>
      <c r="N138" s="185"/>
      <c r="O138" s="185"/>
      <c r="P138" s="185"/>
      <c r="Q138" s="185"/>
      <c r="R138" s="185"/>
    </row>
    <row r="139" spans="1:18">
      <c r="A139" s="185"/>
      <c r="B139" s="661"/>
      <c r="C139" s="185"/>
      <c r="D139" s="186"/>
      <c r="E139" s="186"/>
      <c r="F139" s="186"/>
      <c r="G139" s="186"/>
      <c r="H139" s="186"/>
      <c r="I139" s="186"/>
      <c r="J139" s="186"/>
      <c r="K139" s="185"/>
      <c r="L139" s="185"/>
      <c r="M139" s="185"/>
      <c r="N139" s="185"/>
      <c r="O139" s="185"/>
      <c r="P139" s="185"/>
      <c r="Q139" s="185"/>
      <c r="R139" s="185"/>
    </row>
    <row r="140" spans="1:18">
      <c r="A140" s="185"/>
      <c r="B140" s="661"/>
      <c r="C140" s="185"/>
      <c r="D140" s="186"/>
      <c r="E140" s="186"/>
      <c r="F140" s="186"/>
      <c r="G140" s="186"/>
      <c r="H140" s="186"/>
      <c r="I140" s="186"/>
      <c r="J140" s="186"/>
      <c r="K140" s="185"/>
      <c r="L140" s="185"/>
      <c r="M140" s="185"/>
      <c r="N140" s="185"/>
      <c r="O140" s="185"/>
      <c r="P140" s="185"/>
      <c r="Q140" s="185"/>
      <c r="R140" s="185"/>
    </row>
    <row r="141" spans="1:18">
      <c r="A141" s="185"/>
      <c r="B141" s="661"/>
      <c r="C141" s="185"/>
      <c r="D141" s="186"/>
      <c r="E141" s="186"/>
      <c r="F141" s="186"/>
      <c r="G141" s="186"/>
      <c r="H141" s="186"/>
      <c r="I141" s="186"/>
      <c r="J141" s="186"/>
      <c r="K141" s="185"/>
      <c r="L141" s="185"/>
      <c r="M141" s="185"/>
      <c r="N141" s="185"/>
      <c r="O141" s="185"/>
      <c r="P141" s="185"/>
      <c r="Q141" s="185"/>
      <c r="R141" s="185"/>
    </row>
    <row r="142" spans="1:18">
      <c r="A142" s="185"/>
      <c r="B142" s="661"/>
      <c r="C142" s="185"/>
      <c r="D142" s="186"/>
      <c r="E142" s="186"/>
      <c r="F142" s="186"/>
      <c r="G142" s="186"/>
      <c r="H142" s="186"/>
      <c r="I142" s="186"/>
      <c r="J142" s="186"/>
      <c r="K142" s="185"/>
      <c r="L142" s="185"/>
      <c r="M142" s="185"/>
      <c r="N142" s="185"/>
      <c r="O142" s="185"/>
      <c r="P142" s="185"/>
      <c r="Q142" s="185"/>
      <c r="R142" s="185"/>
    </row>
    <row r="143" spans="1:18">
      <c r="A143" s="185"/>
      <c r="B143" s="661"/>
      <c r="C143" s="185"/>
      <c r="D143" s="186"/>
      <c r="E143" s="186"/>
      <c r="F143" s="186"/>
      <c r="G143" s="186"/>
      <c r="H143" s="186"/>
      <c r="I143" s="186"/>
      <c r="J143" s="186"/>
      <c r="K143" s="185"/>
      <c r="L143" s="185"/>
      <c r="M143" s="185"/>
      <c r="N143" s="185"/>
      <c r="O143" s="185"/>
      <c r="P143" s="185"/>
      <c r="Q143" s="185"/>
      <c r="R143" s="185"/>
    </row>
    <row r="144" spans="1:18">
      <c r="A144" s="185"/>
      <c r="B144" s="661"/>
      <c r="C144" s="185"/>
      <c r="D144" s="186"/>
      <c r="E144" s="186"/>
      <c r="F144" s="186"/>
      <c r="G144" s="186"/>
      <c r="H144" s="186"/>
      <c r="I144" s="186"/>
      <c r="J144" s="186"/>
      <c r="K144" s="185"/>
      <c r="L144" s="185"/>
      <c r="M144" s="185"/>
      <c r="N144" s="185"/>
      <c r="O144" s="185"/>
      <c r="P144" s="185"/>
      <c r="Q144" s="185"/>
      <c r="R144" s="185"/>
    </row>
    <row r="145" spans="1:18">
      <c r="A145" s="185"/>
      <c r="B145" s="661"/>
      <c r="C145" s="185"/>
      <c r="D145" s="186"/>
      <c r="E145" s="186"/>
      <c r="F145" s="186"/>
      <c r="G145" s="186"/>
      <c r="H145" s="186"/>
      <c r="I145" s="186"/>
      <c r="J145" s="186"/>
      <c r="K145" s="185"/>
      <c r="L145" s="185"/>
      <c r="M145" s="185"/>
      <c r="N145" s="185"/>
      <c r="O145" s="185"/>
      <c r="P145" s="185"/>
      <c r="Q145" s="185"/>
      <c r="R145" s="185"/>
    </row>
    <row r="146" spans="1:18">
      <c r="A146" s="185"/>
      <c r="B146" s="661"/>
      <c r="C146" s="185"/>
      <c r="D146" s="186"/>
      <c r="E146" s="186"/>
      <c r="F146" s="186"/>
      <c r="G146" s="186"/>
      <c r="H146" s="186"/>
      <c r="I146" s="186"/>
      <c r="J146" s="186"/>
      <c r="K146" s="185"/>
      <c r="L146" s="185"/>
      <c r="M146" s="185"/>
      <c r="N146" s="185"/>
      <c r="O146" s="185"/>
      <c r="P146" s="185"/>
      <c r="Q146" s="185"/>
      <c r="R146" s="185"/>
    </row>
    <row r="147" spans="1:18">
      <c r="A147" s="185"/>
      <c r="B147" s="661"/>
      <c r="C147" s="185"/>
      <c r="D147" s="186"/>
      <c r="E147" s="186"/>
      <c r="F147" s="186"/>
      <c r="G147" s="186"/>
      <c r="H147" s="186"/>
      <c r="I147" s="186"/>
      <c r="J147" s="186"/>
      <c r="K147" s="185"/>
      <c r="L147" s="185"/>
      <c r="M147" s="185"/>
      <c r="N147" s="185"/>
      <c r="O147" s="185"/>
      <c r="P147" s="185"/>
      <c r="Q147" s="185"/>
      <c r="R147" s="185"/>
    </row>
    <row r="148" spans="1:18">
      <c r="A148" s="185"/>
      <c r="B148" s="661"/>
      <c r="C148" s="185"/>
      <c r="D148" s="186"/>
      <c r="E148" s="186"/>
      <c r="F148" s="186"/>
      <c r="G148" s="186"/>
      <c r="H148" s="186"/>
      <c r="I148" s="186"/>
      <c r="J148" s="186"/>
      <c r="K148" s="185"/>
      <c r="L148" s="185"/>
      <c r="M148" s="185"/>
      <c r="N148" s="185"/>
      <c r="O148" s="185"/>
      <c r="P148" s="185"/>
      <c r="Q148" s="185"/>
      <c r="R148" s="185"/>
    </row>
    <row r="149" spans="1:18">
      <c r="A149" s="185"/>
      <c r="B149" s="661"/>
      <c r="C149" s="185"/>
      <c r="D149" s="186"/>
      <c r="E149" s="186"/>
      <c r="F149" s="186"/>
      <c r="G149" s="186"/>
      <c r="H149" s="186"/>
      <c r="I149" s="186"/>
      <c r="J149" s="186"/>
      <c r="K149" s="185"/>
      <c r="L149" s="185"/>
      <c r="M149" s="185"/>
      <c r="N149" s="185"/>
      <c r="O149" s="185"/>
      <c r="P149" s="185"/>
      <c r="Q149" s="185"/>
      <c r="R149" s="185"/>
    </row>
    <row r="150" spans="1:18">
      <c r="A150" s="185"/>
      <c r="B150" s="661"/>
      <c r="C150" s="185"/>
      <c r="D150" s="186"/>
      <c r="E150" s="186"/>
      <c r="F150" s="186"/>
      <c r="G150" s="186"/>
      <c r="H150" s="186"/>
      <c r="I150" s="186"/>
      <c r="J150" s="186"/>
      <c r="K150" s="185"/>
      <c r="L150" s="185"/>
      <c r="M150" s="185"/>
      <c r="N150" s="185"/>
      <c r="O150" s="185"/>
      <c r="P150" s="185"/>
      <c r="Q150" s="185"/>
      <c r="R150" s="185"/>
    </row>
    <row r="151" spans="1:18">
      <c r="A151" s="185"/>
      <c r="B151" s="661"/>
      <c r="C151" s="185"/>
      <c r="D151" s="186"/>
      <c r="E151" s="186"/>
      <c r="F151" s="186"/>
      <c r="G151" s="186"/>
      <c r="H151" s="186"/>
      <c r="I151" s="186"/>
      <c r="J151" s="186"/>
      <c r="K151" s="185"/>
      <c r="L151" s="185"/>
      <c r="M151" s="185"/>
      <c r="N151" s="185"/>
      <c r="O151" s="185"/>
      <c r="P151" s="185"/>
      <c r="Q151" s="185"/>
      <c r="R151" s="185"/>
    </row>
    <row r="152" spans="1:18">
      <c r="A152" s="185"/>
      <c r="B152" s="661"/>
      <c r="C152" s="185"/>
      <c r="D152" s="186"/>
      <c r="E152" s="186"/>
      <c r="F152" s="186"/>
      <c r="G152" s="186"/>
      <c r="H152" s="186"/>
      <c r="I152" s="186"/>
      <c r="J152" s="186"/>
      <c r="K152" s="185"/>
      <c r="L152" s="185"/>
      <c r="M152" s="185"/>
      <c r="N152" s="185"/>
      <c r="O152" s="185"/>
      <c r="P152" s="185"/>
      <c r="Q152" s="185"/>
      <c r="R152" s="185"/>
    </row>
    <row r="153" spans="1:18">
      <c r="A153" s="185"/>
      <c r="B153" s="661"/>
      <c r="C153" s="185"/>
      <c r="D153" s="186"/>
      <c r="E153" s="186"/>
      <c r="F153" s="186"/>
      <c r="G153" s="186"/>
      <c r="H153" s="186"/>
      <c r="I153" s="186"/>
      <c r="J153" s="186"/>
      <c r="K153" s="185"/>
      <c r="L153" s="185"/>
      <c r="M153" s="185"/>
      <c r="N153" s="185"/>
      <c r="O153" s="185"/>
      <c r="P153" s="185"/>
      <c r="Q153" s="185"/>
      <c r="R153" s="185"/>
    </row>
    <row r="154" spans="1:18">
      <c r="A154" s="185"/>
      <c r="B154" s="661"/>
      <c r="C154" s="185"/>
      <c r="D154" s="186"/>
      <c r="E154" s="186"/>
      <c r="F154" s="186"/>
      <c r="G154" s="186"/>
      <c r="H154" s="186"/>
      <c r="I154" s="186"/>
      <c r="J154" s="186"/>
      <c r="K154" s="185"/>
      <c r="L154" s="185"/>
      <c r="M154" s="185"/>
      <c r="N154" s="185"/>
      <c r="O154" s="185"/>
      <c r="P154" s="185"/>
      <c r="Q154" s="185"/>
      <c r="R154" s="185"/>
    </row>
    <row r="155" spans="1:18">
      <c r="A155" s="185"/>
      <c r="B155" s="661"/>
      <c r="C155" s="185"/>
      <c r="D155" s="186"/>
      <c r="E155" s="186"/>
      <c r="F155" s="186"/>
      <c r="G155" s="186"/>
      <c r="H155" s="186"/>
      <c r="I155" s="186"/>
      <c r="J155" s="186"/>
      <c r="K155" s="185"/>
      <c r="L155" s="185"/>
      <c r="M155" s="185"/>
      <c r="N155" s="185"/>
      <c r="O155" s="185"/>
      <c r="P155" s="185"/>
      <c r="Q155" s="185"/>
      <c r="R155" s="185"/>
    </row>
    <row r="156" spans="1:18">
      <c r="A156" s="185"/>
      <c r="B156" s="661"/>
      <c r="C156" s="185"/>
      <c r="D156" s="186"/>
      <c r="E156" s="186"/>
      <c r="F156" s="186"/>
      <c r="G156" s="186"/>
      <c r="H156" s="186"/>
      <c r="I156" s="186"/>
      <c r="J156" s="186"/>
      <c r="K156" s="185"/>
      <c r="L156" s="185"/>
      <c r="M156" s="185"/>
      <c r="N156" s="185"/>
      <c r="O156" s="185"/>
      <c r="P156" s="185"/>
      <c r="Q156" s="185"/>
      <c r="R156" s="185"/>
    </row>
    <row r="157" spans="1:18">
      <c r="A157" s="185"/>
      <c r="B157" s="661"/>
      <c r="C157" s="185"/>
      <c r="D157" s="186"/>
      <c r="E157" s="186"/>
      <c r="F157" s="186"/>
      <c r="G157" s="186"/>
      <c r="H157" s="186"/>
      <c r="I157" s="186"/>
      <c r="J157" s="186"/>
      <c r="K157" s="185"/>
      <c r="L157" s="185"/>
      <c r="M157" s="185"/>
      <c r="N157" s="185"/>
      <c r="O157" s="185"/>
      <c r="P157" s="185"/>
      <c r="Q157" s="185"/>
      <c r="R157" s="185"/>
    </row>
    <row r="158" spans="1:18">
      <c r="A158" s="185"/>
      <c r="B158" s="661"/>
      <c r="C158" s="185"/>
      <c r="D158" s="186"/>
      <c r="E158" s="186"/>
      <c r="F158" s="186"/>
      <c r="G158" s="186"/>
      <c r="H158" s="186"/>
      <c r="I158" s="186"/>
      <c r="J158" s="186"/>
      <c r="K158" s="185"/>
      <c r="L158" s="185"/>
      <c r="M158" s="185"/>
      <c r="N158" s="185"/>
      <c r="O158" s="185"/>
      <c r="P158" s="185"/>
      <c r="Q158" s="185"/>
      <c r="R158" s="185"/>
    </row>
    <row r="159" spans="1:18">
      <c r="A159" s="185"/>
      <c r="B159" s="661"/>
      <c r="C159" s="185"/>
      <c r="D159" s="186"/>
      <c r="E159" s="186"/>
      <c r="F159" s="186"/>
      <c r="G159" s="186"/>
      <c r="H159" s="186"/>
      <c r="I159" s="186"/>
      <c r="J159" s="186"/>
      <c r="K159" s="185"/>
      <c r="L159" s="185"/>
      <c r="M159" s="185"/>
      <c r="N159" s="185"/>
      <c r="O159" s="185"/>
      <c r="P159" s="185"/>
      <c r="Q159" s="185"/>
      <c r="R159" s="185"/>
    </row>
    <row r="160" spans="1:18">
      <c r="A160" s="185"/>
      <c r="B160" s="661"/>
      <c r="C160" s="185"/>
      <c r="D160" s="186"/>
      <c r="E160" s="186"/>
      <c r="F160" s="186"/>
      <c r="G160" s="186"/>
      <c r="H160" s="186"/>
      <c r="I160" s="186"/>
      <c r="J160" s="186"/>
      <c r="K160" s="185"/>
      <c r="L160" s="185"/>
      <c r="M160" s="185"/>
      <c r="N160" s="185"/>
      <c r="O160" s="185"/>
      <c r="P160" s="185"/>
      <c r="Q160" s="185"/>
      <c r="R160" s="185"/>
    </row>
    <row r="161" spans="1:18">
      <c r="A161" s="185"/>
      <c r="B161" s="661"/>
      <c r="C161" s="185"/>
      <c r="D161" s="186"/>
      <c r="E161" s="186"/>
      <c r="F161" s="186"/>
      <c r="G161" s="186"/>
      <c r="H161" s="186"/>
      <c r="I161" s="186"/>
      <c r="J161" s="186"/>
      <c r="K161" s="185"/>
      <c r="L161" s="185"/>
      <c r="M161" s="185"/>
      <c r="N161" s="185"/>
      <c r="O161" s="185"/>
      <c r="P161" s="185"/>
      <c r="Q161" s="185"/>
      <c r="R161" s="185"/>
    </row>
    <row r="162" spans="1:18">
      <c r="A162" s="185"/>
      <c r="B162" s="661"/>
      <c r="C162" s="185"/>
      <c r="D162" s="186"/>
      <c r="E162" s="186"/>
      <c r="F162" s="186"/>
      <c r="G162" s="186"/>
      <c r="H162" s="186"/>
      <c r="I162" s="186"/>
      <c r="J162" s="186"/>
      <c r="K162" s="185"/>
      <c r="L162" s="185"/>
      <c r="M162" s="185"/>
      <c r="N162" s="185"/>
      <c r="O162" s="185"/>
      <c r="P162" s="185"/>
      <c r="Q162" s="185"/>
      <c r="R162" s="185"/>
    </row>
    <row r="163" spans="1:18">
      <c r="A163" s="185"/>
      <c r="B163" s="661"/>
      <c r="C163" s="185"/>
      <c r="D163" s="186"/>
      <c r="E163" s="186"/>
      <c r="F163" s="186"/>
      <c r="G163" s="186"/>
      <c r="H163" s="186"/>
      <c r="I163" s="186"/>
      <c r="J163" s="186"/>
      <c r="K163" s="185"/>
      <c r="L163" s="185"/>
      <c r="M163" s="185"/>
      <c r="N163" s="185"/>
      <c r="O163" s="185"/>
      <c r="P163" s="185"/>
      <c r="Q163" s="185"/>
      <c r="R163" s="185"/>
    </row>
    <row r="164" spans="1:18">
      <c r="A164" s="185"/>
      <c r="B164" s="661"/>
      <c r="C164" s="185"/>
      <c r="D164" s="186"/>
      <c r="E164" s="186"/>
      <c r="F164" s="186"/>
      <c r="G164" s="186"/>
      <c r="H164" s="186"/>
      <c r="I164" s="186"/>
      <c r="J164" s="186"/>
      <c r="K164" s="185"/>
      <c r="L164" s="185"/>
      <c r="M164" s="185"/>
      <c r="N164" s="185"/>
      <c r="O164" s="185"/>
      <c r="P164" s="185"/>
      <c r="Q164" s="185"/>
      <c r="R164" s="185"/>
    </row>
    <row r="165" spans="1:18">
      <c r="A165" s="185"/>
      <c r="B165" s="661"/>
      <c r="C165" s="185"/>
      <c r="D165" s="186"/>
      <c r="E165" s="186"/>
      <c r="F165" s="186"/>
      <c r="G165" s="186"/>
      <c r="H165" s="186"/>
      <c r="I165" s="186"/>
      <c r="J165" s="186"/>
      <c r="K165" s="185"/>
      <c r="L165" s="185"/>
      <c r="M165" s="185"/>
      <c r="N165" s="185"/>
      <c r="O165" s="185"/>
      <c r="P165" s="185"/>
      <c r="Q165" s="185"/>
      <c r="R165" s="185"/>
    </row>
    <row r="166" spans="1:18">
      <c r="A166" s="185"/>
      <c r="B166" s="661"/>
      <c r="C166" s="185"/>
      <c r="D166" s="186"/>
      <c r="E166" s="186"/>
      <c r="F166" s="186"/>
      <c r="G166" s="186"/>
      <c r="H166" s="186"/>
      <c r="I166" s="186"/>
      <c r="J166" s="186"/>
      <c r="K166" s="185"/>
      <c r="L166" s="185"/>
      <c r="M166" s="185"/>
      <c r="N166" s="185"/>
      <c r="O166" s="185"/>
      <c r="P166" s="185"/>
      <c r="Q166" s="185"/>
      <c r="R166" s="185"/>
    </row>
    <row r="167" spans="1:18">
      <c r="A167" s="185"/>
      <c r="B167" s="661"/>
      <c r="C167" s="185"/>
      <c r="D167" s="186"/>
      <c r="E167" s="186"/>
      <c r="F167" s="186"/>
      <c r="G167" s="186"/>
      <c r="H167" s="186"/>
      <c r="I167" s="186"/>
      <c r="J167" s="186"/>
      <c r="K167" s="185"/>
      <c r="L167" s="185"/>
      <c r="M167" s="185"/>
      <c r="N167" s="185"/>
      <c r="O167" s="185"/>
      <c r="P167" s="185"/>
      <c r="Q167" s="185"/>
      <c r="R167" s="185"/>
    </row>
    <row r="168" spans="1:18">
      <c r="A168" s="185"/>
      <c r="B168" s="661"/>
      <c r="C168" s="185"/>
      <c r="D168" s="186"/>
      <c r="E168" s="186"/>
      <c r="F168" s="186"/>
      <c r="G168" s="186"/>
      <c r="H168" s="186"/>
      <c r="I168" s="186"/>
      <c r="J168" s="186"/>
      <c r="K168" s="185"/>
      <c r="L168" s="185"/>
      <c r="M168" s="185"/>
      <c r="N168" s="185"/>
      <c r="O168" s="185"/>
      <c r="P168" s="185"/>
      <c r="Q168" s="185"/>
      <c r="R168" s="185"/>
    </row>
    <row r="169" spans="1:18">
      <c r="A169" s="185"/>
      <c r="B169" s="661"/>
      <c r="C169" s="185"/>
      <c r="D169" s="186"/>
      <c r="E169" s="186"/>
      <c r="F169" s="186"/>
      <c r="G169" s="186"/>
      <c r="H169" s="186"/>
      <c r="I169" s="186"/>
      <c r="J169" s="186"/>
      <c r="K169" s="185"/>
      <c r="L169" s="185"/>
      <c r="M169" s="185"/>
      <c r="N169" s="185"/>
      <c r="O169" s="185"/>
      <c r="P169" s="185"/>
      <c r="Q169" s="185"/>
      <c r="R169" s="185"/>
    </row>
    <row r="170" spans="1:18">
      <c r="A170" s="185"/>
      <c r="B170" s="661"/>
      <c r="C170" s="185"/>
      <c r="D170" s="186"/>
      <c r="E170" s="186"/>
      <c r="F170" s="186"/>
      <c r="G170" s="186"/>
      <c r="H170" s="186"/>
      <c r="I170" s="186"/>
      <c r="J170" s="186"/>
      <c r="K170" s="185"/>
      <c r="L170" s="185"/>
      <c r="M170" s="185"/>
      <c r="N170" s="185"/>
      <c r="O170" s="185"/>
      <c r="P170" s="185"/>
      <c r="Q170" s="185"/>
      <c r="R170" s="185"/>
    </row>
    <row r="171" spans="1:18">
      <c r="A171" s="185"/>
      <c r="B171" s="661"/>
      <c r="C171" s="185"/>
      <c r="D171" s="186"/>
      <c r="E171" s="186"/>
      <c r="F171" s="186"/>
      <c r="G171" s="186"/>
      <c r="H171" s="186"/>
      <c r="I171" s="186"/>
      <c r="J171" s="186"/>
      <c r="K171" s="185"/>
      <c r="L171" s="185"/>
      <c r="M171" s="185"/>
      <c r="N171" s="185"/>
      <c r="O171" s="185"/>
      <c r="P171" s="185"/>
      <c r="Q171" s="185"/>
      <c r="R171" s="185"/>
    </row>
    <row r="172" spans="1:18">
      <c r="A172" s="185"/>
      <c r="B172" s="661"/>
      <c r="C172" s="185"/>
      <c r="D172" s="186"/>
      <c r="E172" s="186"/>
      <c r="F172" s="186"/>
      <c r="G172" s="186"/>
      <c r="H172" s="186"/>
      <c r="I172" s="186"/>
      <c r="J172" s="186"/>
      <c r="K172" s="185"/>
      <c r="L172" s="185"/>
      <c r="M172" s="185"/>
      <c r="N172" s="185"/>
      <c r="O172" s="185"/>
      <c r="P172" s="185"/>
      <c r="Q172" s="185"/>
      <c r="R172" s="185"/>
    </row>
    <row r="173" spans="1:18">
      <c r="A173" s="185"/>
      <c r="B173" s="661"/>
      <c r="C173" s="185"/>
      <c r="D173" s="186"/>
      <c r="E173" s="186"/>
      <c r="F173" s="186"/>
      <c r="G173" s="186"/>
      <c r="H173" s="186"/>
      <c r="I173" s="186"/>
      <c r="J173" s="186"/>
      <c r="K173" s="185"/>
      <c r="L173" s="185"/>
      <c r="M173" s="185"/>
      <c r="N173" s="185"/>
      <c r="O173" s="185"/>
      <c r="P173" s="185"/>
      <c r="Q173" s="185"/>
      <c r="R173" s="185"/>
    </row>
    <row r="174" spans="1:18">
      <c r="A174" s="185"/>
      <c r="B174" s="661"/>
      <c r="C174" s="185"/>
      <c r="D174" s="186"/>
      <c r="E174" s="186"/>
      <c r="F174" s="186"/>
      <c r="G174" s="186"/>
      <c r="H174" s="186"/>
      <c r="I174" s="186"/>
      <c r="J174" s="186"/>
      <c r="K174" s="185"/>
      <c r="L174" s="185"/>
      <c r="M174" s="185"/>
      <c r="N174" s="185"/>
      <c r="O174" s="185"/>
      <c r="P174" s="185"/>
      <c r="Q174" s="185"/>
      <c r="R174" s="185"/>
    </row>
    <row r="175" spans="1:18">
      <c r="A175" s="185"/>
      <c r="B175" s="661"/>
      <c r="C175" s="185"/>
      <c r="D175" s="186"/>
      <c r="E175" s="186"/>
      <c r="F175" s="186"/>
      <c r="G175" s="186"/>
      <c r="H175" s="186"/>
      <c r="I175" s="186"/>
      <c r="J175" s="186"/>
      <c r="K175" s="185"/>
      <c r="L175" s="185"/>
      <c r="M175" s="185"/>
      <c r="N175" s="185"/>
      <c r="O175" s="185"/>
      <c r="P175" s="185"/>
      <c r="Q175" s="185"/>
      <c r="R175" s="185"/>
    </row>
    <row r="176" spans="1:18">
      <c r="A176" s="185"/>
      <c r="B176" s="661"/>
      <c r="C176" s="185"/>
      <c r="D176" s="186"/>
      <c r="E176" s="186"/>
      <c r="F176" s="186"/>
      <c r="G176" s="186"/>
      <c r="H176" s="186"/>
      <c r="I176" s="186"/>
      <c r="J176" s="186"/>
      <c r="K176" s="185"/>
      <c r="L176" s="185"/>
      <c r="M176" s="185"/>
      <c r="N176" s="185"/>
      <c r="O176" s="185"/>
      <c r="P176" s="185"/>
      <c r="Q176" s="185"/>
      <c r="R176" s="185"/>
    </row>
    <row r="177" spans="1:18">
      <c r="A177" s="185"/>
      <c r="B177" s="661"/>
      <c r="C177" s="185"/>
      <c r="D177" s="186"/>
      <c r="E177" s="186"/>
      <c r="F177" s="186"/>
      <c r="G177" s="186"/>
      <c r="H177" s="186"/>
      <c r="I177" s="186"/>
      <c r="J177" s="186"/>
      <c r="K177" s="185"/>
      <c r="L177" s="185"/>
      <c r="M177" s="185"/>
      <c r="N177" s="185"/>
      <c r="O177" s="185"/>
      <c r="P177" s="185"/>
      <c r="Q177" s="185"/>
      <c r="R177" s="185"/>
    </row>
    <row r="178" spans="1:18">
      <c r="A178" s="185"/>
      <c r="B178" s="661"/>
      <c r="C178" s="185"/>
      <c r="D178" s="186"/>
      <c r="E178" s="186"/>
      <c r="F178" s="186"/>
      <c r="G178" s="186"/>
      <c r="H178" s="186"/>
      <c r="I178" s="186"/>
      <c r="J178" s="186"/>
      <c r="K178" s="185"/>
      <c r="L178" s="185"/>
      <c r="M178" s="185"/>
      <c r="N178" s="185"/>
      <c r="O178" s="185"/>
      <c r="P178" s="185"/>
      <c r="Q178" s="185"/>
      <c r="R178" s="185"/>
    </row>
    <row r="179" spans="1:18">
      <c r="A179" s="185"/>
      <c r="B179" s="661"/>
      <c r="C179" s="185"/>
      <c r="D179" s="186"/>
      <c r="E179" s="186"/>
      <c r="F179" s="186"/>
      <c r="G179" s="186"/>
      <c r="H179" s="186"/>
      <c r="I179" s="186"/>
      <c r="J179" s="186"/>
      <c r="K179" s="185"/>
      <c r="L179" s="185"/>
      <c r="M179" s="185"/>
      <c r="N179" s="185"/>
      <c r="O179" s="185"/>
      <c r="P179" s="185"/>
      <c r="Q179" s="185"/>
      <c r="R179" s="185"/>
    </row>
    <row r="180" spans="1:18">
      <c r="A180" s="185"/>
      <c r="B180" s="661"/>
      <c r="C180" s="185"/>
      <c r="D180" s="186"/>
      <c r="E180" s="186"/>
      <c r="F180" s="186"/>
      <c r="G180" s="186"/>
      <c r="H180" s="186"/>
      <c r="I180" s="186"/>
      <c r="J180" s="186"/>
      <c r="K180" s="185"/>
      <c r="L180" s="185"/>
      <c r="M180" s="185"/>
      <c r="N180" s="185"/>
      <c r="O180" s="185"/>
      <c r="P180" s="185"/>
      <c r="Q180" s="185"/>
      <c r="R180" s="185"/>
    </row>
    <row r="181" spans="1:18">
      <c r="A181" s="185"/>
      <c r="B181" s="661"/>
      <c r="C181" s="185"/>
      <c r="D181" s="186"/>
      <c r="E181" s="186"/>
      <c r="F181" s="186"/>
      <c r="G181" s="186"/>
      <c r="H181" s="186"/>
      <c r="I181" s="186"/>
      <c r="J181" s="186"/>
      <c r="K181" s="185"/>
      <c r="L181" s="185"/>
      <c r="M181" s="185"/>
      <c r="N181" s="185"/>
      <c r="O181" s="185"/>
      <c r="P181" s="185"/>
      <c r="Q181" s="185"/>
      <c r="R181" s="185"/>
    </row>
    <row r="182" spans="1:18">
      <c r="A182" s="185"/>
      <c r="B182" s="661"/>
      <c r="C182" s="185"/>
      <c r="D182" s="186"/>
      <c r="E182" s="186"/>
      <c r="F182" s="186"/>
      <c r="G182" s="186"/>
      <c r="H182" s="186"/>
      <c r="I182" s="186"/>
      <c r="J182" s="186"/>
      <c r="K182" s="185"/>
      <c r="L182" s="185"/>
      <c r="M182" s="185"/>
      <c r="N182" s="185"/>
      <c r="O182" s="185"/>
      <c r="P182" s="185"/>
      <c r="Q182" s="185"/>
      <c r="R182" s="185"/>
    </row>
    <row r="183" spans="1:18">
      <c r="A183" s="185"/>
      <c r="B183" s="661"/>
      <c r="C183" s="185"/>
      <c r="D183" s="186"/>
      <c r="E183" s="186"/>
      <c r="F183" s="186"/>
      <c r="G183" s="186"/>
      <c r="H183" s="186"/>
      <c r="I183" s="186"/>
      <c r="J183" s="186"/>
      <c r="K183" s="185"/>
      <c r="L183" s="185"/>
      <c r="M183" s="185"/>
      <c r="N183" s="185"/>
      <c r="O183" s="185"/>
      <c r="P183" s="185"/>
      <c r="Q183" s="185"/>
      <c r="R183" s="185"/>
    </row>
    <row r="184" spans="1:18">
      <c r="A184" s="185"/>
      <c r="B184" s="661"/>
      <c r="C184" s="185"/>
      <c r="D184" s="186"/>
      <c r="E184" s="186"/>
      <c r="F184" s="186"/>
      <c r="G184" s="186"/>
      <c r="H184" s="186"/>
      <c r="I184" s="186"/>
      <c r="J184" s="186"/>
      <c r="K184" s="185"/>
      <c r="L184" s="185"/>
      <c r="M184" s="185"/>
      <c r="N184" s="185"/>
      <c r="O184" s="185"/>
      <c r="P184" s="185"/>
      <c r="Q184" s="185"/>
      <c r="R184" s="185"/>
    </row>
    <row r="185" spans="1:18">
      <c r="A185" s="185"/>
      <c r="B185" s="661"/>
      <c r="C185" s="185"/>
      <c r="D185" s="186"/>
      <c r="E185" s="186"/>
      <c r="F185" s="186"/>
      <c r="G185" s="186"/>
      <c r="H185" s="186"/>
      <c r="I185" s="186"/>
      <c r="J185" s="186"/>
      <c r="K185" s="185"/>
      <c r="L185" s="185"/>
      <c r="M185" s="185"/>
      <c r="N185" s="185"/>
      <c r="O185" s="185"/>
      <c r="P185" s="185"/>
      <c r="Q185" s="185"/>
      <c r="R185" s="185"/>
    </row>
    <row r="186" spans="1:18">
      <c r="A186" s="185"/>
      <c r="B186" s="661"/>
      <c r="C186" s="185"/>
      <c r="D186" s="186"/>
      <c r="E186" s="186"/>
      <c r="F186" s="186"/>
      <c r="G186" s="186"/>
      <c r="H186" s="186"/>
      <c r="I186" s="186"/>
      <c r="J186" s="186"/>
      <c r="K186" s="185"/>
      <c r="L186" s="185"/>
      <c r="M186" s="185"/>
      <c r="N186" s="185"/>
      <c r="O186" s="185"/>
      <c r="P186" s="185"/>
      <c r="Q186" s="185"/>
      <c r="R186" s="185"/>
    </row>
    <row r="187" spans="1:18">
      <c r="A187" s="185"/>
      <c r="B187" s="661"/>
      <c r="C187" s="185"/>
      <c r="D187" s="186"/>
      <c r="E187" s="186"/>
      <c r="F187" s="186"/>
      <c r="G187" s="186"/>
      <c r="H187" s="186"/>
      <c r="I187" s="186"/>
      <c r="J187" s="186"/>
      <c r="K187" s="185"/>
      <c r="L187" s="185"/>
      <c r="M187" s="185"/>
      <c r="N187" s="185"/>
      <c r="O187" s="185"/>
      <c r="P187" s="185"/>
      <c r="Q187" s="185"/>
      <c r="R187" s="185"/>
    </row>
    <row r="188" spans="1:18">
      <c r="A188" s="185"/>
      <c r="B188" s="661"/>
      <c r="C188" s="185"/>
      <c r="D188" s="186"/>
      <c r="E188" s="186"/>
      <c r="F188" s="186"/>
      <c r="G188" s="186"/>
      <c r="H188" s="186"/>
      <c r="I188" s="186"/>
      <c r="J188" s="186"/>
      <c r="K188" s="185"/>
      <c r="L188" s="185"/>
      <c r="M188" s="185"/>
      <c r="N188" s="185"/>
      <c r="O188" s="185"/>
      <c r="P188" s="185"/>
      <c r="Q188" s="185"/>
      <c r="R188" s="185"/>
    </row>
    <row r="189" spans="1:18">
      <c r="A189" s="185"/>
      <c r="B189" s="661"/>
      <c r="C189" s="185"/>
      <c r="D189" s="186"/>
      <c r="E189" s="186"/>
      <c r="F189" s="186"/>
      <c r="G189" s="186"/>
      <c r="H189" s="186"/>
      <c r="I189" s="186"/>
      <c r="J189" s="186"/>
      <c r="K189" s="185"/>
      <c r="L189" s="185"/>
      <c r="M189" s="185"/>
      <c r="N189" s="185"/>
      <c r="O189" s="185"/>
      <c r="P189" s="185"/>
      <c r="Q189" s="185"/>
      <c r="R189" s="185"/>
    </row>
    <row r="190" spans="1:18">
      <c r="A190" s="185"/>
      <c r="B190" s="661"/>
      <c r="C190" s="185"/>
      <c r="D190" s="186"/>
      <c r="E190" s="186"/>
      <c r="F190" s="186"/>
      <c r="G190" s="186"/>
      <c r="H190" s="186"/>
      <c r="I190" s="186"/>
      <c r="J190" s="186"/>
      <c r="K190" s="185"/>
      <c r="L190" s="185"/>
      <c r="M190" s="185"/>
      <c r="N190" s="185"/>
      <c r="O190" s="185"/>
      <c r="P190" s="185"/>
      <c r="Q190" s="185"/>
      <c r="R190" s="185"/>
    </row>
    <row r="191" spans="1:18">
      <c r="A191" s="185"/>
      <c r="B191" s="661"/>
      <c r="C191" s="185"/>
      <c r="D191" s="186"/>
      <c r="E191" s="186"/>
      <c r="F191" s="186"/>
      <c r="G191" s="186"/>
      <c r="H191" s="186"/>
      <c r="I191" s="186"/>
      <c r="J191" s="186"/>
      <c r="K191" s="185"/>
      <c r="L191" s="185"/>
      <c r="M191" s="185"/>
      <c r="N191" s="185"/>
      <c r="O191" s="185"/>
      <c r="P191" s="185"/>
      <c r="Q191" s="185"/>
      <c r="R191" s="185"/>
    </row>
    <row r="192" spans="1:18">
      <c r="A192" s="185"/>
      <c r="B192" s="661"/>
      <c r="C192" s="185"/>
      <c r="D192" s="186"/>
      <c r="E192" s="186"/>
      <c r="F192" s="186"/>
      <c r="G192" s="186"/>
      <c r="H192" s="186"/>
      <c r="I192" s="186"/>
      <c r="J192" s="186"/>
      <c r="K192" s="185"/>
      <c r="L192" s="185"/>
      <c r="M192" s="185"/>
      <c r="N192" s="185"/>
      <c r="O192" s="185"/>
      <c r="P192" s="185"/>
      <c r="Q192" s="185"/>
      <c r="R192" s="185"/>
    </row>
    <row r="193" spans="1:18">
      <c r="A193" s="185"/>
      <c r="B193" s="661"/>
      <c r="C193" s="185"/>
      <c r="D193" s="186"/>
      <c r="E193" s="186"/>
      <c r="F193" s="186"/>
      <c r="G193" s="186"/>
      <c r="H193" s="186"/>
      <c r="I193" s="186"/>
      <c r="J193" s="186"/>
      <c r="K193" s="185"/>
      <c r="L193" s="185"/>
      <c r="M193" s="185"/>
      <c r="N193" s="185"/>
      <c r="O193" s="185"/>
      <c r="P193" s="185"/>
      <c r="Q193" s="185"/>
      <c r="R193" s="185"/>
    </row>
    <row r="194" spans="1:18">
      <c r="A194" s="185"/>
      <c r="B194" s="661"/>
      <c r="C194" s="185"/>
      <c r="D194" s="186"/>
      <c r="E194" s="186"/>
      <c r="F194" s="186"/>
      <c r="G194" s="186"/>
      <c r="H194" s="186"/>
      <c r="I194" s="186"/>
      <c r="J194" s="186"/>
      <c r="K194" s="185"/>
      <c r="L194" s="185"/>
      <c r="M194" s="185"/>
      <c r="N194" s="185"/>
      <c r="O194" s="185"/>
      <c r="P194" s="185"/>
      <c r="Q194" s="185"/>
      <c r="R194" s="185"/>
    </row>
    <row r="195" spans="1:18">
      <c r="A195" s="185"/>
      <c r="B195" s="661"/>
      <c r="C195" s="185"/>
      <c r="D195" s="186"/>
      <c r="E195" s="186"/>
      <c r="F195" s="186"/>
      <c r="G195" s="186"/>
      <c r="H195" s="186"/>
      <c r="I195" s="186"/>
      <c r="J195" s="186"/>
      <c r="K195" s="185"/>
      <c r="L195" s="185"/>
      <c r="M195" s="185"/>
      <c r="N195" s="185"/>
      <c r="O195" s="185"/>
      <c r="P195" s="185"/>
      <c r="Q195" s="185"/>
      <c r="R195" s="185"/>
    </row>
    <row r="196" spans="1:18">
      <c r="A196" s="185"/>
      <c r="B196" s="661"/>
      <c r="C196" s="185"/>
      <c r="D196" s="186"/>
      <c r="E196" s="186"/>
      <c r="F196" s="186"/>
      <c r="G196" s="186"/>
      <c r="H196" s="186"/>
      <c r="I196" s="186"/>
      <c r="J196" s="186"/>
      <c r="K196" s="185"/>
      <c r="L196" s="185"/>
      <c r="M196" s="185"/>
      <c r="N196" s="185"/>
      <c r="O196" s="185"/>
      <c r="P196" s="185"/>
      <c r="Q196" s="185"/>
      <c r="R196" s="185"/>
    </row>
    <row r="197" spans="1:18">
      <c r="A197" s="185"/>
      <c r="B197" s="661"/>
      <c r="C197" s="185"/>
      <c r="D197" s="186"/>
      <c r="E197" s="186"/>
      <c r="F197" s="186"/>
      <c r="G197" s="186"/>
      <c r="H197" s="186"/>
      <c r="I197" s="186"/>
      <c r="J197" s="186"/>
      <c r="K197" s="185"/>
      <c r="L197" s="185"/>
      <c r="M197" s="185"/>
      <c r="N197" s="185"/>
      <c r="O197" s="185"/>
      <c r="P197" s="185"/>
      <c r="Q197" s="185"/>
      <c r="R197" s="185"/>
    </row>
    <row r="198" spans="1:18">
      <c r="A198" s="185"/>
      <c r="B198" s="661"/>
      <c r="C198" s="185"/>
      <c r="D198" s="186"/>
      <c r="E198" s="186"/>
      <c r="F198" s="186"/>
      <c r="G198" s="186"/>
      <c r="H198" s="186"/>
      <c r="I198" s="186"/>
      <c r="J198" s="186"/>
      <c r="K198" s="185"/>
      <c r="L198" s="185"/>
      <c r="M198" s="185"/>
      <c r="N198" s="185"/>
      <c r="O198" s="185"/>
      <c r="P198" s="185"/>
      <c r="Q198" s="185"/>
      <c r="R198" s="185"/>
    </row>
    <row r="199" spans="1:18">
      <c r="A199" s="185"/>
      <c r="B199" s="661"/>
      <c r="C199" s="185"/>
      <c r="D199" s="186"/>
      <c r="E199" s="186"/>
      <c r="F199" s="186"/>
      <c r="G199" s="186"/>
      <c r="H199" s="186"/>
      <c r="I199" s="186"/>
      <c r="J199" s="186"/>
      <c r="K199" s="185"/>
      <c r="L199" s="185"/>
      <c r="M199" s="185"/>
      <c r="N199" s="185"/>
      <c r="O199" s="185"/>
      <c r="P199" s="185"/>
      <c r="Q199" s="185"/>
      <c r="R199" s="185"/>
    </row>
    <row r="200" spans="1:18">
      <c r="A200" s="185"/>
      <c r="B200" s="661"/>
      <c r="C200" s="185"/>
      <c r="D200" s="186"/>
      <c r="E200" s="186"/>
      <c r="F200" s="186"/>
      <c r="G200" s="186"/>
      <c r="H200" s="186"/>
      <c r="I200" s="186"/>
      <c r="J200" s="186"/>
      <c r="K200" s="185"/>
      <c r="L200" s="185"/>
      <c r="M200" s="185"/>
      <c r="N200" s="185"/>
      <c r="O200" s="185"/>
      <c r="P200" s="185"/>
      <c r="Q200" s="185"/>
      <c r="R200" s="185"/>
    </row>
    <row r="201" spans="1:18">
      <c r="A201" s="185"/>
      <c r="B201" s="661"/>
      <c r="C201" s="185"/>
      <c r="D201" s="186"/>
      <c r="E201" s="186"/>
      <c r="F201" s="186"/>
      <c r="G201" s="186"/>
      <c r="H201" s="186"/>
      <c r="I201" s="186"/>
      <c r="J201" s="186"/>
      <c r="K201" s="185"/>
      <c r="L201" s="185"/>
      <c r="M201" s="185"/>
      <c r="N201" s="185"/>
      <c r="O201" s="185"/>
      <c r="P201" s="185"/>
      <c r="Q201" s="185"/>
      <c r="R201" s="185"/>
    </row>
    <row r="202" spans="1:18">
      <c r="A202" s="185"/>
      <c r="B202" s="661"/>
      <c r="C202" s="185"/>
      <c r="D202" s="186"/>
      <c r="E202" s="186"/>
      <c r="F202" s="186"/>
      <c r="G202" s="186"/>
      <c r="H202" s="186"/>
      <c r="I202" s="186"/>
      <c r="J202" s="186"/>
      <c r="K202" s="185"/>
      <c r="L202" s="185"/>
      <c r="M202" s="185"/>
      <c r="N202" s="185"/>
      <c r="O202" s="185"/>
      <c r="P202" s="185"/>
      <c r="Q202" s="185"/>
      <c r="R202" s="185"/>
    </row>
    <row r="203" spans="1:18">
      <c r="A203" s="185"/>
      <c r="B203" s="661"/>
      <c r="C203" s="185"/>
      <c r="D203" s="186"/>
      <c r="E203" s="186"/>
      <c r="F203" s="186"/>
      <c r="G203" s="186"/>
      <c r="H203" s="186"/>
      <c r="I203" s="186"/>
      <c r="J203" s="186"/>
      <c r="K203" s="185"/>
      <c r="L203" s="185"/>
      <c r="M203" s="185"/>
      <c r="N203" s="185"/>
      <c r="O203" s="185"/>
      <c r="P203" s="185"/>
      <c r="Q203" s="185"/>
      <c r="R203" s="185"/>
    </row>
    <row r="204" spans="1:18">
      <c r="A204" s="185"/>
      <c r="B204" s="661"/>
      <c r="C204" s="185"/>
      <c r="D204" s="186"/>
      <c r="E204" s="186"/>
      <c r="F204" s="186"/>
      <c r="G204" s="186"/>
      <c r="H204" s="186"/>
      <c r="I204" s="186"/>
      <c r="J204" s="186"/>
      <c r="K204" s="185"/>
      <c r="L204" s="185"/>
      <c r="M204" s="185"/>
      <c r="N204" s="185"/>
      <c r="O204" s="185"/>
      <c r="P204" s="185"/>
      <c r="Q204" s="185"/>
      <c r="R204" s="185"/>
    </row>
    <row r="205" spans="1:18">
      <c r="A205" s="185"/>
      <c r="B205" s="661"/>
      <c r="C205" s="185"/>
      <c r="D205" s="186"/>
      <c r="E205" s="186"/>
      <c r="F205" s="186"/>
      <c r="G205" s="186"/>
      <c r="H205" s="186"/>
      <c r="I205" s="186"/>
      <c r="J205" s="186"/>
      <c r="K205" s="185"/>
      <c r="L205" s="185"/>
      <c r="M205" s="185"/>
      <c r="N205" s="185"/>
      <c r="O205" s="185"/>
      <c r="P205" s="185"/>
      <c r="Q205" s="185"/>
      <c r="R205" s="185"/>
    </row>
    <row r="206" spans="1:18">
      <c r="A206" s="185"/>
      <c r="B206" s="661"/>
      <c r="C206" s="185"/>
      <c r="D206" s="186"/>
      <c r="E206" s="186"/>
      <c r="F206" s="186"/>
      <c r="G206" s="186"/>
      <c r="H206" s="186"/>
      <c r="I206" s="186"/>
      <c r="J206" s="186"/>
      <c r="K206" s="185"/>
      <c r="L206" s="185"/>
      <c r="M206" s="185"/>
      <c r="N206" s="185"/>
      <c r="O206" s="185"/>
      <c r="P206" s="185"/>
      <c r="Q206" s="185"/>
      <c r="R206" s="185"/>
    </row>
    <row r="207" spans="1:18">
      <c r="A207" s="185"/>
      <c r="B207" s="661"/>
      <c r="C207" s="185"/>
      <c r="D207" s="186"/>
      <c r="E207" s="186"/>
      <c r="F207" s="186"/>
      <c r="G207" s="186"/>
      <c r="H207" s="186"/>
      <c r="I207" s="186"/>
      <c r="J207" s="186"/>
      <c r="K207" s="185"/>
      <c r="L207" s="185"/>
      <c r="M207" s="185"/>
      <c r="N207" s="185"/>
      <c r="O207" s="185"/>
      <c r="P207" s="185"/>
      <c r="Q207" s="185"/>
      <c r="R207" s="185"/>
    </row>
    <row r="208" spans="1:18">
      <c r="A208" s="185"/>
      <c r="B208" s="661"/>
      <c r="C208" s="185"/>
      <c r="D208" s="186"/>
      <c r="E208" s="186"/>
      <c r="F208" s="186"/>
      <c r="G208" s="186"/>
      <c r="H208" s="186"/>
      <c r="I208" s="186"/>
      <c r="J208" s="186"/>
      <c r="K208" s="185"/>
      <c r="L208" s="185"/>
      <c r="M208" s="185"/>
      <c r="N208" s="185"/>
      <c r="O208" s="185"/>
      <c r="P208" s="185"/>
      <c r="Q208" s="185"/>
      <c r="R208" s="185"/>
    </row>
    <row r="209" spans="1:18">
      <c r="A209" s="185"/>
      <c r="B209" s="661"/>
      <c r="C209" s="185"/>
      <c r="D209" s="186"/>
      <c r="E209" s="186"/>
      <c r="F209" s="186"/>
      <c r="G209" s="186"/>
      <c r="H209" s="186"/>
      <c r="I209" s="186"/>
      <c r="J209" s="186"/>
      <c r="K209" s="185"/>
      <c r="L209" s="185"/>
      <c r="M209" s="185"/>
      <c r="N209" s="185"/>
      <c r="O209" s="185"/>
      <c r="P209" s="185"/>
      <c r="Q209" s="185"/>
      <c r="R209" s="185"/>
    </row>
    <row r="210" spans="1:18">
      <c r="A210" s="185"/>
      <c r="B210" s="661"/>
      <c r="C210" s="185"/>
      <c r="D210" s="186"/>
      <c r="E210" s="186"/>
      <c r="F210" s="186"/>
      <c r="G210" s="186"/>
      <c r="H210" s="186"/>
      <c r="I210" s="186"/>
      <c r="J210" s="186"/>
      <c r="K210" s="185"/>
      <c r="L210" s="185"/>
      <c r="M210" s="185"/>
      <c r="N210" s="185"/>
      <c r="O210" s="185"/>
      <c r="P210" s="185"/>
      <c r="Q210" s="185"/>
      <c r="R210" s="185"/>
    </row>
    <row r="211" spans="1:18">
      <c r="A211" s="185"/>
      <c r="B211" s="661"/>
      <c r="C211" s="185"/>
      <c r="D211" s="186"/>
      <c r="E211" s="186"/>
      <c r="F211" s="186"/>
      <c r="G211" s="186"/>
      <c r="H211" s="186"/>
      <c r="I211" s="186"/>
      <c r="J211" s="186"/>
      <c r="K211" s="185"/>
      <c r="L211" s="185"/>
      <c r="M211" s="185"/>
      <c r="N211" s="185"/>
      <c r="O211" s="185"/>
      <c r="P211" s="185"/>
      <c r="Q211" s="185"/>
      <c r="R211" s="185"/>
    </row>
    <row r="212" spans="1:18">
      <c r="A212" s="185"/>
      <c r="B212" s="661"/>
      <c r="C212" s="185"/>
      <c r="D212" s="186"/>
      <c r="E212" s="186"/>
      <c r="F212" s="186"/>
      <c r="G212" s="186"/>
      <c r="H212" s="186"/>
      <c r="I212" s="186"/>
      <c r="J212" s="186"/>
      <c r="K212" s="185"/>
      <c r="L212" s="185"/>
      <c r="M212" s="185"/>
      <c r="N212" s="185"/>
      <c r="O212" s="185"/>
      <c r="P212" s="185"/>
      <c r="Q212" s="185"/>
      <c r="R212" s="185"/>
    </row>
    <row r="213" spans="1:18">
      <c r="A213" s="185"/>
      <c r="B213" s="661"/>
      <c r="C213" s="185"/>
      <c r="D213" s="186"/>
      <c r="E213" s="186"/>
      <c r="F213" s="186"/>
      <c r="G213" s="186"/>
      <c r="H213" s="186"/>
      <c r="I213" s="186"/>
      <c r="J213" s="186"/>
      <c r="K213" s="185"/>
      <c r="L213" s="185"/>
      <c r="M213" s="185"/>
      <c r="N213" s="185"/>
      <c r="O213" s="185"/>
      <c r="P213" s="185"/>
      <c r="Q213" s="185"/>
      <c r="R213" s="185"/>
    </row>
    <row r="214" spans="1:18">
      <c r="A214" s="185"/>
      <c r="B214" s="661"/>
      <c r="C214" s="185"/>
      <c r="D214" s="186"/>
      <c r="E214" s="186"/>
      <c r="F214" s="186"/>
      <c r="G214" s="186"/>
      <c r="H214" s="186"/>
      <c r="I214" s="186"/>
      <c r="J214" s="186"/>
      <c r="K214" s="185"/>
      <c r="L214" s="185"/>
      <c r="M214" s="185"/>
      <c r="N214" s="185"/>
      <c r="O214" s="185"/>
      <c r="P214" s="185"/>
      <c r="Q214" s="185"/>
      <c r="R214" s="185"/>
    </row>
    <row r="215" spans="1:18">
      <c r="A215" s="185"/>
      <c r="B215" s="661"/>
      <c r="C215" s="185"/>
      <c r="D215" s="186"/>
      <c r="E215" s="186"/>
      <c r="F215" s="186"/>
      <c r="G215" s="186"/>
      <c r="H215" s="186"/>
      <c r="I215" s="186"/>
      <c r="J215" s="186"/>
      <c r="K215" s="185"/>
      <c r="L215" s="185"/>
      <c r="M215" s="185"/>
      <c r="N215" s="185"/>
      <c r="O215" s="185"/>
      <c r="P215" s="185"/>
      <c r="Q215" s="185"/>
      <c r="R215" s="185"/>
    </row>
    <row r="216" spans="1:18">
      <c r="A216" s="185"/>
      <c r="B216" s="661"/>
      <c r="C216" s="185"/>
      <c r="D216" s="186"/>
      <c r="E216" s="186"/>
      <c r="F216" s="186"/>
      <c r="G216" s="186"/>
      <c r="H216" s="186"/>
      <c r="I216" s="186"/>
      <c r="J216" s="186"/>
      <c r="K216" s="185"/>
      <c r="L216" s="185"/>
      <c r="M216" s="185"/>
      <c r="N216" s="185"/>
      <c r="O216" s="185"/>
      <c r="P216" s="185"/>
      <c r="Q216" s="185"/>
      <c r="R216" s="185"/>
    </row>
    <row r="217" spans="1:18">
      <c r="A217" s="185"/>
      <c r="B217" s="661"/>
      <c r="C217" s="185"/>
      <c r="D217" s="186"/>
      <c r="E217" s="186"/>
      <c r="F217" s="186"/>
      <c r="G217" s="186"/>
      <c r="H217" s="186"/>
      <c r="I217" s="186"/>
      <c r="J217" s="186"/>
      <c r="K217" s="185"/>
      <c r="L217" s="185"/>
      <c r="M217" s="185"/>
      <c r="N217" s="185"/>
      <c r="O217" s="185"/>
      <c r="P217" s="185"/>
      <c r="Q217" s="185"/>
      <c r="R217" s="185"/>
    </row>
    <row r="218" spans="1:18">
      <c r="A218" s="185"/>
      <c r="B218" s="661"/>
      <c r="C218" s="185"/>
      <c r="D218" s="186"/>
      <c r="E218" s="186"/>
      <c r="F218" s="186"/>
      <c r="G218" s="186"/>
      <c r="H218" s="186"/>
      <c r="I218" s="186"/>
      <c r="J218" s="186"/>
      <c r="K218" s="185"/>
      <c r="L218" s="185"/>
      <c r="M218" s="185"/>
      <c r="N218" s="185"/>
      <c r="O218" s="185"/>
      <c r="P218" s="185"/>
      <c r="Q218" s="185"/>
      <c r="R218" s="185"/>
    </row>
    <row r="219" spans="1:18">
      <c r="A219" s="185"/>
      <c r="B219" s="661"/>
      <c r="C219" s="185"/>
      <c r="D219" s="186"/>
      <c r="E219" s="186"/>
      <c r="F219" s="186"/>
      <c r="G219" s="186"/>
      <c r="H219" s="186"/>
      <c r="I219" s="186"/>
      <c r="J219" s="186"/>
      <c r="K219" s="185"/>
      <c r="L219" s="185"/>
      <c r="M219" s="185"/>
      <c r="N219" s="185"/>
      <c r="O219" s="185"/>
      <c r="P219" s="185"/>
      <c r="Q219" s="185"/>
      <c r="R219" s="185"/>
    </row>
    <row r="220" spans="1:18">
      <c r="A220" s="185"/>
      <c r="B220" s="661"/>
      <c r="C220" s="185"/>
      <c r="D220" s="186"/>
      <c r="E220" s="186"/>
      <c r="F220" s="186"/>
      <c r="G220" s="186"/>
      <c r="H220" s="186"/>
      <c r="I220" s="186"/>
      <c r="J220" s="186"/>
      <c r="K220" s="185"/>
      <c r="L220" s="185"/>
      <c r="M220" s="185"/>
      <c r="N220" s="185"/>
      <c r="O220" s="185"/>
      <c r="P220" s="185"/>
      <c r="Q220" s="185"/>
      <c r="R220" s="185"/>
    </row>
    <row r="221" spans="1:18">
      <c r="A221" s="185"/>
      <c r="B221" s="661"/>
      <c r="C221" s="185"/>
      <c r="D221" s="186"/>
      <c r="E221" s="186"/>
      <c r="F221" s="186"/>
      <c r="G221" s="186"/>
      <c r="H221" s="186"/>
      <c r="I221" s="186"/>
      <c r="J221" s="186"/>
      <c r="K221" s="185"/>
      <c r="L221" s="185"/>
      <c r="M221" s="185"/>
      <c r="N221" s="185"/>
      <c r="O221" s="185"/>
      <c r="P221" s="185"/>
      <c r="Q221" s="185"/>
      <c r="R221" s="185"/>
    </row>
    <row r="222" spans="1:18">
      <c r="A222" s="185"/>
      <c r="B222" s="661"/>
      <c r="C222" s="185"/>
      <c r="D222" s="186"/>
      <c r="E222" s="186"/>
      <c r="F222" s="186"/>
      <c r="G222" s="186"/>
      <c r="H222" s="186"/>
      <c r="I222" s="186"/>
      <c r="J222" s="186"/>
      <c r="K222" s="185"/>
      <c r="L222" s="185"/>
      <c r="M222" s="185"/>
      <c r="N222" s="185"/>
      <c r="O222" s="185"/>
      <c r="P222" s="185"/>
      <c r="Q222" s="185"/>
      <c r="R222" s="185"/>
    </row>
    <row r="223" spans="1:18">
      <c r="A223" s="185"/>
      <c r="B223" s="661"/>
      <c r="C223" s="185"/>
      <c r="D223" s="186"/>
      <c r="E223" s="186"/>
      <c r="F223" s="186"/>
      <c r="G223" s="186"/>
      <c r="H223" s="186"/>
      <c r="I223" s="186"/>
      <c r="J223" s="186"/>
      <c r="K223" s="185"/>
      <c r="L223" s="185"/>
      <c r="M223" s="185"/>
      <c r="N223" s="185"/>
      <c r="O223" s="185"/>
      <c r="P223" s="185"/>
      <c r="Q223" s="185"/>
      <c r="R223" s="185"/>
    </row>
    <row r="224" spans="1:18">
      <c r="A224" s="185"/>
      <c r="B224" s="661"/>
      <c r="C224" s="185"/>
      <c r="D224" s="186"/>
      <c r="E224" s="186"/>
      <c r="F224" s="186"/>
      <c r="G224" s="186"/>
      <c r="H224" s="186"/>
      <c r="I224" s="186"/>
      <c r="J224" s="186"/>
      <c r="K224" s="185"/>
      <c r="L224" s="185"/>
      <c r="M224" s="185"/>
      <c r="N224" s="185"/>
      <c r="O224" s="185"/>
      <c r="P224" s="185"/>
      <c r="Q224" s="185"/>
      <c r="R224" s="185"/>
    </row>
    <row r="225" spans="1:18">
      <c r="A225" s="185"/>
      <c r="B225" s="661"/>
      <c r="C225" s="185"/>
      <c r="D225" s="186"/>
      <c r="E225" s="186"/>
      <c r="F225" s="186"/>
      <c r="G225" s="186"/>
      <c r="H225" s="186"/>
      <c r="I225" s="186"/>
      <c r="J225" s="186"/>
      <c r="K225" s="185"/>
      <c r="L225" s="185"/>
      <c r="M225" s="185"/>
      <c r="N225" s="185"/>
      <c r="O225" s="185"/>
      <c r="P225" s="185"/>
      <c r="Q225" s="185"/>
      <c r="R225" s="185"/>
    </row>
    <row r="226" spans="1:18">
      <c r="A226" s="185"/>
      <c r="B226" s="661"/>
      <c r="C226" s="185"/>
      <c r="D226" s="186"/>
      <c r="E226" s="186"/>
      <c r="F226" s="186"/>
      <c r="G226" s="186"/>
      <c r="H226" s="186"/>
      <c r="I226" s="186"/>
      <c r="J226" s="186"/>
      <c r="K226" s="185"/>
      <c r="L226" s="185"/>
      <c r="M226" s="185"/>
      <c r="N226" s="185"/>
      <c r="O226" s="185"/>
      <c r="P226" s="185"/>
      <c r="Q226" s="185"/>
      <c r="R226" s="185"/>
    </row>
    <row r="227" spans="1:18">
      <c r="A227" s="185"/>
      <c r="B227" s="661"/>
      <c r="C227" s="185"/>
      <c r="D227" s="186"/>
      <c r="E227" s="186"/>
      <c r="F227" s="186"/>
      <c r="G227" s="186"/>
      <c r="H227" s="186"/>
      <c r="I227" s="186"/>
      <c r="J227" s="186"/>
      <c r="K227" s="185"/>
      <c r="L227" s="185"/>
      <c r="M227" s="185"/>
      <c r="N227" s="185"/>
      <c r="O227" s="185"/>
      <c r="P227" s="185"/>
      <c r="Q227" s="185"/>
      <c r="R227" s="185"/>
    </row>
    <row r="228" spans="1:18">
      <c r="A228" s="185"/>
      <c r="B228" s="661"/>
      <c r="C228" s="185"/>
      <c r="D228" s="186"/>
      <c r="E228" s="186"/>
      <c r="F228" s="186"/>
      <c r="G228" s="186"/>
      <c r="H228" s="186"/>
      <c r="I228" s="186"/>
      <c r="J228" s="186"/>
      <c r="K228" s="185"/>
      <c r="L228" s="185"/>
      <c r="M228" s="185"/>
      <c r="N228" s="185"/>
      <c r="O228" s="185"/>
      <c r="P228" s="185"/>
      <c r="Q228" s="185"/>
      <c r="R228" s="185"/>
    </row>
    <row r="229" spans="1:18">
      <c r="A229" s="185"/>
      <c r="B229" s="661"/>
      <c r="C229" s="185"/>
      <c r="D229" s="186"/>
      <c r="E229" s="186"/>
      <c r="F229" s="186"/>
      <c r="G229" s="186"/>
      <c r="H229" s="186"/>
      <c r="I229" s="186"/>
      <c r="J229" s="186"/>
      <c r="K229" s="185"/>
      <c r="L229" s="185"/>
      <c r="M229" s="185"/>
      <c r="N229" s="185"/>
      <c r="O229" s="185"/>
      <c r="P229" s="185"/>
      <c r="Q229" s="185"/>
      <c r="R229" s="185"/>
    </row>
    <row r="230" spans="1:18">
      <c r="A230" s="185"/>
      <c r="B230" s="661"/>
      <c r="C230" s="185"/>
      <c r="D230" s="186"/>
      <c r="E230" s="186"/>
      <c r="F230" s="186"/>
      <c r="G230" s="186"/>
      <c r="H230" s="186"/>
      <c r="I230" s="186"/>
      <c r="J230" s="186"/>
      <c r="K230" s="185"/>
      <c r="L230" s="185"/>
      <c r="M230" s="185"/>
      <c r="N230" s="185"/>
      <c r="O230" s="185"/>
      <c r="P230" s="185"/>
      <c r="Q230" s="185"/>
      <c r="R230" s="185"/>
    </row>
    <row r="231" spans="1:18">
      <c r="A231" s="185"/>
      <c r="B231" s="661"/>
      <c r="C231" s="185"/>
      <c r="D231" s="186"/>
      <c r="E231" s="186"/>
      <c r="F231" s="186"/>
      <c r="G231" s="186"/>
      <c r="H231" s="186"/>
      <c r="I231" s="186"/>
      <c r="J231" s="186"/>
      <c r="K231" s="185"/>
      <c r="L231" s="185"/>
      <c r="M231" s="185"/>
      <c r="N231" s="185"/>
      <c r="O231" s="185"/>
      <c r="P231" s="185"/>
      <c r="Q231" s="185"/>
      <c r="R231" s="185"/>
    </row>
    <row r="232" spans="1:18">
      <c r="A232" s="185"/>
      <c r="B232" s="661"/>
      <c r="C232" s="185"/>
      <c r="D232" s="186"/>
      <c r="E232" s="186"/>
      <c r="F232" s="186"/>
      <c r="G232" s="186"/>
      <c r="H232" s="186"/>
      <c r="I232" s="186"/>
      <c r="J232" s="186"/>
      <c r="K232" s="185"/>
      <c r="L232" s="185"/>
      <c r="M232" s="185"/>
      <c r="N232" s="185"/>
      <c r="O232" s="185"/>
      <c r="P232" s="185"/>
      <c r="Q232" s="185"/>
      <c r="R232" s="185"/>
    </row>
    <row r="233" spans="1:18">
      <c r="A233" s="185"/>
      <c r="B233" s="661"/>
      <c r="C233" s="185"/>
      <c r="D233" s="186"/>
      <c r="E233" s="186"/>
      <c r="F233" s="186"/>
      <c r="G233" s="186"/>
      <c r="H233" s="186"/>
      <c r="I233" s="186"/>
      <c r="J233" s="186"/>
      <c r="K233" s="185"/>
      <c r="L233" s="185"/>
      <c r="M233" s="185"/>
      <c r="N233" s="185"/>
      <c r="O233" s="185"/>
      <c r="P233" s="185"/>
      <c r="Q233" s="185"/>
      <c r="R233" s="185"/>
    </row>
    <row r="234" spans="1:18">
      <c r="A234" s="185"/>
      <c r="B234" s="661"/>
      <c r="C234" s="185"/>
      <c r="D234" s="186"/>
      <c r="E234" s="186"/>
      <c r="F234" s="186"/>
      <c r="G234" s="186"/>
      <c r="H234" s="186"/>
      <c r="I234" s="186"/>
      <c r="J234" s="186"/>
      <c r="K234" s="185"/>
      <c r="L234" s="185"/>
      <c r="M234" s="185"/>
      <c r="N234" s="185"/>
      <c r="O234" s="185"/>
      <c r="P234" s="185"/>
      <c r="Q234" s="185"/>
      <c r="R234" s="185"/>
    </row>
    <row r="235" spans="1:18">
      <c r="A235" s="185"/>
      <c r="B235" s="661"/>
      <c r="C235" s="185"/>
      <c r="D235" s="186"/>
      <c r="E235" s="186"/>
      <c r="F235" s="186"/>
      <c r="G235" s="186"/>
      <c r="H235" s="186"/>
      <c r="I235" s="186"/>
      <c r="J235" s="186"/>
      <c r="K235" s="185"/>
      <c r="L235" s="185"/>
      <c r="M235" s="185"/>
      <c r="N235" s="185"/>
      <c r="O235" s="185"/>
      <c r="P235" s="185"/>
      <c r="Q235" s="185"/>
      <c r="R235" s="185"/>
    </row>
    <row r="236" spans="1:18">
      <c r="A236" s="185"/>
      <c r="B236" s="661"/>
      <c r="C236" s="185"/>
      <c r="D236" s="186"/>
      <c r="E236" s="186"/>
      <c r="F236" s="186"/>
      <c r="G236" s="186"/>
      <c r="H236" s="186"/>
      <c r="I236" s="186"/>
      <c r="J236" s="186"/>
      <c r="K236" s="185"/>
      <c r="L236" s="185"/>
      <c r="M236" s="185"/>
      <c r="N236" s="185"/>
      <c r="O236" s="185"/>
      <c r="P236" s="185"/>
      <c r="Q236" s="185"/>
      <c r="R236" s="185"/>
    </row>
    <row r="237" spans="1:18">
      <c r="A237" s="185"/>
      <c r="B237" s="661"/>
      <c r="C237" s="185"/>
      <c r="D237" s="186"/>
      <c r="E237" s="186"/>
      <c r="F237" s="186"/>
      <c r="G237" s="186"/>
      <c r="H237" s="186"/>
      <c r="I237" s="186"/>
      <c r="J237" s="186"/>
      <c r="K237" s="185"/>
      <c r="L237" s="185"/>
      <c r="M237" s="185"/>
      <c r="N237" s="185"/>
      <c r="O237" s="185"/>
      <c r="P237" s="185"/>
      <c r="Q237" s="185"/>
      <c r="R237" s="185"/>
    </row>
    <row r="238" spans="1:18">
      <c r="A238" s="185"/>
      <c r="B238" s="661"/>
      <c r="C238" s="185"/>
      <c r="D238" s="186"/>
      <c r="E238" s="186"/>
      <c r="F238" s="186"/>
      <c r="G238" s="186"/>
      <c r="H238" s="186"/>
      <c r="I238" s="186"/>
      <c r="J238" s="186"/>
      <c r="K238" s="185"/>
      <c r="L238" s="185"/>
      <c r="M238" s="185"/>
      <c r="N238" s="185"/>
      <c r="O238" s="185"/>
      <c r="P238" s="185"/>
      <c r="Q238" s="185"/>
      <c r="R238" s="185"/>
    </row>
    <row r="239" spans="1:18">
      <c r="A239" s="185"/>
      <c r="B239" s="661"/>
      <c r="C239" s="185"/>
      <c r="D239" s="186"/>
      <c r="E239" s="186"/>
      <c r="F239" s="186"/>
      <c r="G239" s="186"/>
      <c r="H239" s="186"/>
      <c r="I239" s="186"/>
      <c r="J239" s="186"/>
      <c r="K239" s="185"/>
      <c r="L239" s="185"/>
      <c r="M239" s="185"/>
      <c r="N239" s="185"/>
      <c r="O239" s="185"/>
      <c r="P239" s="185"/>
      <c r="Q239" s="185"/>
      <c r="R239" s="185"/>
    </row>
    <row r="240" spans="1:18">
      <c r="A240" s="185"/>
      <c r="B240" s="661"/>
      <c r="C240" s="185"/>
      <c r="D240" s="186"/>
      <c r="E240" s="186"/>
      <c r="F240" s="186"/>
      <c r="G240" s="186"/>
      <c r="H240" s="186"/>
      <c r="I240" s="186"/>
      <c r="J240" s="186"/>
      <c r="K240" s="185"/>
      <c r="L240" s="185"/>
      <c r="M240" s="185"/>
      <c r="N240" s="185"/>
      <c r="O240" s="185"/>
      <c r="P240" s="185"/>
      <c r="Q240" s="185"/>
      <c r="R240" s="185"/>
    </row>
    <row r="241" spans="1:18">
      <c r="A241" s="185"/>
      <c r="B241" s="661"/>
      <c r="C241" s="185"/>
      <c r="D241" s="186"/>
      <c r="E241" s="186"/>
      <c r="F241" s="186"/>
      <c r="G241" s="186"/>
      <c r="H241" s="186"/>
      <c r="I241" s="186"/>
      <c r="J241" s="186"/>
      <c r="K241" s="185"/>
      <c r="L241" s="185"/>
      <c r="M241" s="185"/>
      <c r="N241" s="185"/>
      <c r="O241" s="185"/>
      <c r="P241" s="185"/>
      <c r="Q241" s="185"/>
      <c r="R241" s="185"/>
    </row>
    <row r="242" spans="1:18">
      <c r="A242" s="185"/>
      <c r="B242" s="661"/>
      <c r="C242" s="185"/>
      <c r="D242" s="186"/>
      <c r="E242" s="186"/>
      <c r="F242" s="186"/>
      <c r="G242" s="186"/>
      <c r="H242" s="186"/>
      <c r="I242" s="186"/>
      <c r="J242" s="186"/>
      <c r="K242" s="185"/>
      <c r="L242" s="185"/>
      <c r="M242" s="185"/>
      <c r="N242" s="185"/>
      <c r="O242" s="185"/>
      <c r="P242" s="185"/>
      <c r="Q242" s="185"/>
      <c r="R242" s="185"/>
    </row>
    <row r="243" spans="1:18">
      <c r="A243" s="185"/>
      <c r="B243" s="661"/>
      <c r="C243" s="185"/>
      <c r="D243" s="186"/>
      <c r="E243" s="186"/>
      <c r="F243" s="186"/>
      <c r="G243" s="186"/>
      <c r="H243" s="186"/>
      <c r="I243" s="186"/>
      <c r="J243" s="186"/>
      <c r="K243" s="185"/>
      <c r="L243" s="185"/>
      <c r="M243" s="185"/>
      <c r="N243" s="185"/>
      <c r="O243" s="185"/>
      <c r="P243" s="185"/>
      <c r="Q243" s="185"/>
      <c r="R243" s="185"/>
    </row>
    <row r="244" spans="1:18">
      <c r="A244" s="185"/>
      <c r="B244" s="661"/>
      <c r="C244" s="185"/>
      <c r="D244" s="186"/>
      <c r="E244" s="186"/>
      <c r="F244" s="186"/>
      <c r="G244" s="186"/>
      <c r="H244" s="186"/>
      <c r="I244" s="186"/>
      <c r="J244" s="186"/>
      <c r="K244" s="185"/>
      <c r="L244" s="185"/>
      <c r="M244" s="185"/>
      <c r="N244" s="185"/>
      <c r="O244" s="185"/>
      <c r="P244" s="185"/>
      <c r="Q244" s="185"/>
      <c r="R244" s="185"/>
    </row>
    <row r="245" spans="1:18">
      <c r="A245" s="185"/>
      <c r="B245" s="661"/>
      <c r="C245" s="185"/>
      <c r="D245" s="186"/>
      <c r="E245" s="186"/>
      <c r="F245" s="186"/>
      <c r="G245" s="186"/>
      <c r="H245" s="186"/>
      <c r="I245" s="186"/>
      <c r="J245" s="186"/>
      <c r="K245" s="185"/>
      <c r="L245" s="185"/>
      <c r="M245" s="185"/>
      <c r="N245" s="185"/>
      <c r="O245" s="185"/>
      <c r="P245" s="185"/>
      <c r="Q245" s="185"/>
      <c r="R245" s="185"/>
    </row>
    <row r="246" spans="1:18">
      <c r="A246" s="185"/>
      <c r="B246" s="661"/>
      <c r="C246" s="185"/>
      <c r="D246" s="186"/>
      <c r="E246" s="186"/>
      <c r="F246" s="186"/>
      <c r="G246" s="186"/>
      <c r="H246" s="186"/>
      <c r="I246" s="186"/>
      <c r="J246" s="186"/>
      <c r="K246" s="185"/>
      <c r="L246" s="185"/>
      <c r="M246" s="185"/>
      <c r="N246" s="185"/>
      <c r="O246" s="185"/>
      <c r="P246" s="185"/>
      <c r="Q246" s="185"/>
      <c r="R246" s="185"/>
    </row>
    <row r="247" spans="1:18">
      <c r="A247" s="185"/>
      <c r="B247" s="661"/>
      <c r="C247" s="185"/>
      <c r="D247" s="186"/>
      <c r="E247" s="186"/>
      <c r="F247" s="186"/>
      <c r="G247" s="186"/>
      <c r="H247" s="186"/>
      <c r="I247" s="186"/>
      <c r="J247" s="186"/>
      <c r="K247" s="185"/>
      <c r="L247" s="185"/>
      <c r="M247" s="185"/>
      <c r="N247" s="185"/>
      <c r="O247" s="185"/>
      <c r="P247" s="185"/>
      <c r="Q247" s="185"/>
      <c r="R247" s="185"/>
    </row>
    <row r="248" spans="1:18">
      <c r="A248" s="185"/>
      <c r="B248" s="661"/>
      <c r="C248" s="185"/>
      <c r="D248" s="186"/>
      <c r="E248" s="186"/>
      <c r="F248" s="186"/>
      <c r="G248" s="186"/>
      <c r="H248" s="186"/>
      <c r="I248" s="186"/>
      <c r="J248" s="186"/>
      <c r="K248" s="185"/>
      <c r="L248" s="185"/>
      <c r="M248" s="185"/>
      <c r="N248" s="185"/>
      <c r="O248" s="185"/>
      <c r="P248" s="185"/>
      <c r="Q248" s="185"/>
      <c r="R248" s="185"/>
    </row>
    <row r="249" spans="1:18">
      <c r="A249" s="185"/>
      <c r="B249" s="661"/>
      <c r="C249" s="185"/>
      <c r="D249" s="186"/>
      <c r="E249" s="186"/>
      <c r="F249" s="186"/>
      <c r="G249" s="186"/>
      <c r="H249" s="186"/>
      <c r="I249" s="186"/>
      <c r="J249" s="186"/>
      <c r="K249" s="185"/>
      <c r="L249" s="185"/>
      <c r="M249" s="185"/>
      <c r="N249" s="185"/>
      <c r="O249" s="185"/>
      <c r="P249" s="185"/>
      <c r="Q249" s="185"/>
      <c r="R249" s="185"/>
    </row>
    <row r="250" spans="1:18">
      <c r="A250" s="185"/>
      <c r="B250" s="661"/>
      <c r="C250" s="185"/>
      <c r="D250" s="186"/>
      <c r="E250" s="186"/>
      <c r="F250" s="186"/>
      <c r="G250" s="186"/>
      <c r="H250" s="186"/>
      <c r="I250" s="186"/>
      <c r="J250" s="186"/>
      <c r="K250" s="185"/>
      <c r="L250" s="185"/>
      <c r="M250" s="185"/>
      <c r="N250" s="185"/>
      <c r="O250" s="185"/>
      <c r="P250" s="185"/>
      <c r="Q250" s="185"/>
      <c r="R250" s="185"/>
    </row>
    <row r="251" spans="1:18">
      <c r="A251" s="185"/>
      <c r="B251" s="661"/>
      <c r="C251" s="185"/>
      <c r="D251" s="186"/>
      <c r="E251" s="186"/>
      <c r="F251" s="186"/>
      <c r="G251" s="186"/>
      <c r="H251" s="186"/>
      <c r="I251" s="186"/>
      <c r="J251" s="186"/>
      <c r="K251" s="185"/>
      <c r="L251" s="185"/>
      <c r="M251" s="185"/>
      <c r="N251" s="185"/>
      <c r="O251" s="185"/>
      <c r="P251" s="185"/>
      <c r="Q251" s="185"/>
      <c r="R251" s="185"/>
    </row>
    <row r="252" spans="1:18">
      <c r="A252" s="185"/>
      <c r="B252" s="661"/>
      <c r="C252" s="185"/>
      <c r="D252" s="186"/>
      <c r="E252" s="186"/>
      <c r="F252" s="186"/>
      <c r="G252" s="186"/>
      <c r="H252" s="186"/>
      <c r="I252" s="186"/>
      <c r="J252" s="186"/>
      <c r="K252" s="185"/>
      <c r="L252" s="185"/>
      <c r="M252" s="185"/>
      <c r="N252" s="185"/>
      <c r="O252" s="185"/>
      <c r="P252" s="185"/>
      <c r="Q252" s="185"/>
      <c r="R252" s="185"/>
    </row>
    <row r="253" spans="1:18">
      <c r="A253" s="185"/>
      <c r="B253" s="661"/>
      <c r="C253" s="185"/>
      <c r="D253" s="186"/>
      <c r="E253" s="186"/>
      <c r="F253" s="186"/>
      <c r="G253" s="186"/>
      <c r="H253" s="186"/>
      <c r="I253" s="186"/>
      <c r="J253" s="186"/>
      <c r="K253" s="185"/>
      <c r="L253" s="185"/>
      <c r="M253" s="185"/>
      <c r="N253" s="185"/>
      <c r="O253" s="185"/>
      <c r="P253" s="185"/>
      <c r="Q253" s="185"/>
      <c r="R253" s="185"/>
    </row>
    <row r="254" spans="1:18">
      <c r="A254" s="185"/>
      <c r="B254" s="661"/>
      <c r="C254" s="185"/>
      <c r="D254" s="186"/>
      <c r="E254" s="186"/>
      <c r="F254" s="186"/>
      <c r="G254" s="186"/>
      <c r="H254" s="186"/>
      <c r="I254" s="186"/>
      <c r="J254" s="186"/>
      <c r="K254" s="185"/>
      <c r="L254" s="185"/>
      <c r="M254" s="185"/>
      <c r="N254" s="185"/>
      <c r="O254" s="185"/>
      <c r="P254" s="185"/>
      <c r="Q254" s="185"/>
      <c r="R254" s="185"/>
    </row>
    <row r="255" spans="1:18">
      <c r="A255" s="185"/>
      <c r="B255" s="661"/>
      <c r="C255" s="185"/>
      <c r="D255" s="186"/>
      <c r="E255" s="186"/>
      <c r="F255" s="186"/>
      <c r="G255" s="186"/>
      <c r="H255" s="186"/>
      <c r="I255" s="186"/>
      <c r="J255" s="186"/>
      <c r="K255" s="185"/>
      <c r="L255" s="185"/>
      <c r="M255" s="185"/>
      <c r="N255" s="185"/>
      <c r="O255" s="185"/>
      <c r="P255" s="185"/>
      <c r="Q255" s="185"/>
      <c r="R255" s="185"/>
    </row>
    <row r="256" spans="1:18">
      <c r="A256" s="185"/>
      <c r="B256" s="661"/>
      <c r="C256" s="185"/>
      <c r="D256" s="186"/>
      <c r="E256" s="186"/>
      <c r="F256" s="186"/>
      <c r="G256" s="186"/>
      <c r="H256" s="186"/>
      <c r="I256" s="186"/>
      <c r="J256" s="186"/>
      <c r="K256" s="185"/>
      <c r="L256" s="185"/>
      <c r="M256" s="185"/>
      <c r="N256" s="185"/>
      <c r="O256" s="185"/>
      <c r="P256" s="185"/>
      <c r="Q256" s="185"/>
      <c r="R256" s="185"/>
    </row>
    <row r="257" spans="1:18">
      <c r="A257" s="185"/>
      <c r="B257" s="661"/>
      <c r="C257" s="185"/>
      <c r="D257" s="186"/>
      <c r="E257" s="186"/>
      <c r="F257" s="186"/>
      <c r="G257" s="186"/>
      <c r="H257" s="186"/>
      <c r="I257" s="186"/>
      <c r="J257" s="186"/>
      <c r="K257" s="185"/>
      <c r="L257" s="185"/>
      <c r="M257" s="185"/>
      <c r="N257" s="185"/>
      <c r="O257" s="185"/>
      <c r="P257" s="185"/>
      <c r="Q257" s="185"/>
      <c r="R257" s="185"/>
    </row>
    <row r="258" spans="1:18">
      <c r="A258" s="185"/>
      <c r="B258" s="661"/>
      <c r="C258" s="185"/>
      <c r="D258" s="186"/>
      <c r="E258" s="186"/>
      <c r="F258" s="186"/>
      <c r="G258" s="186"/>
      <c r="H258" s="186"/>
      <c r="I258" s="186"/>
      <c r="J258" s="186"/>
      <c r="K258" s="185"/>
      <c r="L258" s="185"/>
      <c r="M258" s="185"/>
      <c r="N258" s="185"/>
      <c r="O258" s="185"/>
      <c r="P258" s="185"/>
      <c r="Q258" s="185"/>
      <c r="R258" s="185"/>
    </row>
    <row r="259" spans="1:18">
      <c r="A259" s="185"/>
      <c r="B259" s="661"/>
      <c r="C259" s="185"/>
      <c r="D259" s="186"/>
      <c r="E259" s="186"/>
      <c r="F259" s="186"/>
      <c r="G259" s="186"/>
      <c r="H259" s="186"/>
      <c r="I259" s="186"/>
      <c r="J259" s="186"/>
      <c r="K259" s="185"/>
      <c r="L259" s="185"/>
      <c r="M259" s="185"/>
      <c r="N259" s="185"/>
      <c r="O259" s="185"/>
      <c r="P259" s="185"/>
      <c r="Q259" s="185"/>
      <c r="R259" s="185"/>
    </row>
    <row r="260" spans="1:18">
      <c r="A260" s="185"/>
      <c r="B260" s="661"/>
      <c r="C260" s="185"/>
      <c r="D260" s="186"/>
      <c r="E260" s="186"/>
      <c r="F260" s="186"/>
      <c r="G260" s="186"/>
      <c r="H260" s="186"/>
      <c r="I260" s="186"/>
      <c r="J260" s="186"/>
      <c r="K260" s="185"/>
      <c r="L260" s="185"/>
      <c r="M260" s="185"/>
      <c r="N260" s="185"/>
      <c r="O260" s="185"/>
      <c r="P260" s="185"/>
      <c r="Q260" s="185"/>
      <c r="R260" s="185"/>
    </row>
    <row r="261" spans="1:18">
      <c r="A261" s="185"/>
      <c r="B261" s="661"/>
      <c r="C261" s="185"/>
      <c r="D261" s="186"/>
      <c r="E261" s="186"/>
      <c r="F261" s="186"/>
      <c r="G261" s="186"/>
      <c r="H261" s="186"/>
      <c r="I261" s="186"/>
      <c r="J261" s="186"/>
      <c r="K261" s="185"/>
      <c r="L261" s="185"/>
      <c r="M261" s="185"/>
      <c r="N261" s="185"/>
      <c r="O261" s="185"/>
      <c r="P261" s="185"/>
      <c r="Q261" s="185"/>
      <c r="R261" s="185"/>
    </row>
    <row r="262" spans="1:18">
      <c r="A262" s="185"/>
      <c r="B262" s="661"/>
      <c r="C262" s="185"/>
      <c r="D262" s="186"/>
      <c r="E262" s="186"/>
      <c r="F262" s="186"/>
      <c r="G262" s="186"/>
      <c r="H262" s="186"/>
      <c r="I262" s="186"/>
      <c r="J262" s="186"/>
      <c r="K262" s="185"/>
      <c r="L262" s="185"/>
      <c r="M262" s="185"/>
      <c r="N262" s="185"/>
      <c r="O262" s="185"/>
      <c r="P262" s="185"/>
      <c r="Q262" s="185"/>
      <c r="R262" s="185"/>
    </row>
    <row r="263" spans="1:18">
      <c r="A263" s="185"/>
      <c r="B263" s="661"/>
      <c r="C263" s="185"/>
      <c r="D263" s="186"/>
      <c r="E263" s="186"/>
      <c r="F263" s="186"/>
      <c r="G263" s="186"/>
      <c r="H263" s="186"/>
      <c r="I263" s="186"/>
      <c r="J263" s="186"/>
      <c r="K263" s="185"/>
      <c r="L263" s="185"/>
      <c r="M263" s="185"/>
      <c r="N263" s="185"/>
      <c r="O263" s="185"/>
      <c r="P263" s="185"/>
      <c r="Q263" s="185"/>
      <c r="R263" s="185"/>
    </row>
    <row r="264" spans="1:18">
      <c r="A264" s="185"/>
      <c r="B264" s="661"/>
      <c r="C264" s="185"/>
      <c r="D264" s="186"/>
      <c r="E264" s="186"/>
      <c r="F264" s="186"/>
      <c r="G264" s="186"/>
      <c r="H264" s="186"/>
      <c r="I264" s="186"/>
      <c r="J264" s="186"/>
      <c r="K264" s="185"/>
      <c r="L264" s="185"/>
      <c r="M264" s="185"/>
      <c r="N264" s="185"/>
      <c r="O264" s="185"/>
      <c r="P264" s="185"/>
      <c r="Q264" s="185"/>
      <c r="R264" s="185"/>
    </row>
    <row r="265" spans="1:18">
      <c r="A265" s="185"/>
      <c r="B265" s="661"/>
      <c r="C265" s="185"/>
      <c r="D265" s="186"/>
      <c r="E265" s="186"/>
      <c r="F265" s="186"/>
      <c r="G265" s="186"/>
      <c r="H265" s="186"/>
      <c r="I265" s="186"/>
      <c r="J265" s="186"/>
      <c r="K265" s="185"/>
      <c r="L265" s="185"/>
      <c r="M265" s="185"/>
      <c r="N265" s="185"/>
      <c r="O265" s="185"/>
      <c r="P265" s="185"/>
      <c r="Q265" s="185"/>
      <c r="R265" s="185"/>
    </row>
    <row r="266" spans="1:18">
      <c r="A266" s="185"/>
      <c r="B266" s="661"/>
      <c r="C266" s="185"/>
      <c r="D266" s="186"/>
      <c r="E266" s="186"/>
      <c r="F266" s="186"/>
      <c r="G266" s="186"/>
      <c r="H266" s="186"/>
      <c r="I266" s="186"/>
      <c r="J266" s="186"/>
      <c r="K266" s="185"/>
      <c r="L266" s="185"/>
      <c r="M266" s="185"/>
      <c r="N266" s="185"/>
      <c r="O266" s="185"/>
      <c r="P266" s="185"/>
      <c r="Q266" s="185"/>
      <c r="R266" s="185"/>
    </row>
    <row r="267" spans="1:18">
      <c r="A267" s="185"/>
      <c r="B267" s="661"/>
      <c r="C267" s="185"/>
      <c r="D267" s="186"/>
      <c r="E267" s="186"/>
      <c r="F267" s="186"/>
      <c r="G267" s="186"/>
      <c r="H267" s="186"/>
      <c r="I267" s="186"/>
      <c r="J267" s="186"/>
      <c r="K267" s="185"/>
      <c r="L267" s="185"/>
      <c r="M267" s="185"/>
      <c r="N267" s="185"/>
      <c r="O267" s="185"/>
      <c r="P267" s="185"/>
      <c r="Q267" s="185"/>
      <c r="R267" s="185"/>
    </row>
    <row r="268" spans="1:18">
      <c r="A268" s="185"/>
      <c r="B268" s="661"/>
      <c r="C268" s="185"/>
      <c r="D268" s="186"/>
      <c r="E268" s="186"/>
      <c r="F268" s="186"/>
      <c r="G268" s="186"/>
      <c r="H268" s="186"/>
      <c r="I268" s="186"/>
      <c r="J268" s="186"/>
      <c r="K268" s="185"/>
      <c r="L268" s="185"/>
      <c r="M268" s="185"/>
      <c r="N268" s="185"/>
      <c r="O268" s="185"/>
      <c r="P268" s="185"/>
      <c r="Q268" s="185"/>
      <c r="R268" s="185"/>
    </row>
    <row r="269" spans="1:18">
      <c r="A269" s="185"/>
      <c r="B269" s="661"/>
      <c r="C269" s="185"/>
      <c r="D269" s="186"/>
      <c r="E269" s="186"/>
      <c r="F269" s="186"/>
      <c r="G269" s="186"/>
      <c r="H269" s="186"/>
      <c r="I269" s="186"/>
      <c r="J269" s="186"/>
      <c r="K269" s="185"/>
      <c r="L269" s="185"/>
      <c r="M269" s="185"/>
      <c r="N269" s="185"/>
      <c r="O269" s="185"/>
      <c r="P269" s="185"/>
      <c r="Q269" s="185"/>
      <c r="R269" s="185"/>
    </row>
    <row r="270" spans="1:18">
      <c r="A270" s="185"/>
      <c r="B270" s="661"/>
      <c r="C270" s="185"/>
      <c r="D270" s="186"/>
      <c r="E270" s="186"/>
      <c r="F270" s="186"/>
      <c r="G270" s="186"/>
      <c r="H270" s="186"/>
      <c r="I270" s="186"/>
      <c r="J270" s="186"/>
      <c r="K270" s="185"/>
      <c r="L270" s="185"/>
      <c r="M270" s="185"/>
      <c r="N270" s="185"/>
      <c r="O270" s="185"/>
      <c r="P270" s="185"/>
      <c r="Q270" s="185"/>
      <c r="R270" s="185"/>
    </row>
    <row r="271" spans="1:18">
      <c r="A271" s="185"/>
      <c r="B271" s="661"/>
      <c r="C271" s="185"/>
      <c r="D271" s="186"/>
      <c r="E271" s="186"/>
      <c r="F271" s="186"/>
      <c r="G271" s="186"/>
      <c r="H271" s="186"/>
      <c r="I271" s="186"/>
      <c r="J271" s="186"/>
      <c r="K271" s="185"/>
      <c r="L271" s="185"/>
      <c r="M271" s="185"/>
      <c r="N271" s="185"/>
      <c r="O271" s="185"/>
      <c r="P271" s="185"/>
      <c r="Q271" s="185"/>
      <c r="R271" s="185"/>
    </row>
    <row r="272" spans="1:18">
      <c r="A272" s="185"/>
      <c r="B272" s="661"/>
      <c r="C272" s="185"/>
      <c r="D272" s="186"/>
      <c r="E272" s="186"/>
      <c r="F272" s="186"/>
      <c r="G272" s="186"/>
      <c r="H272" s="186"/>
      <c r="I272" s="186"/>
      <c r="J272" s="186"/>
      <c r="K272" s="185"/>
      <c r="L272" s="185"/>
      <c r="M272" s="185"/>
      <c r="N272" s="185"/>
      <c r="O272" s="185"/>
      <c r="P272" s="185"/>
      <c r="Q272" s="185"/>
      <c r="R272" s="185"/>
    </row>
    <row r="273" spans="1:18">
      <c r="A273" s="185"/>
      <c r="B273" s="661"/>
      <c r="C273" s="185"/>
      <c r="D273" s="186"/>
      <c r="E273" s="186"/>
      <c r="F273" s="186"/>
      <c r="G273" s="186"/>
      <c r="H273" s="186"/>
      <c r="I273" s="186"/>
      <c r="J273" s="186"/>
      <c r="K273" s="185"/>
      <c r="L273" s="185"/>
      <c r="M273" s="185"/>
      <c r="N273" s="185"/>
      <c r="O273" s="185"/>
      <c r="P273" s="185"/>
      <c r="Q273" s="185"/>
      <c r="R273" s="185"/>
    </row>
    <row r="274" spans="1:18">
      <c r="A274" s="185"/>
      <c r="B274" s="661"/>
      <c r="C274" s="185"/>
      <c r="D274" s="186"/>
      <c r="E274" s="186"/>
      <c r="F274" s="186"/>
      <c r="G274" s="186"/>
      <c r="H274" s="186"/>
      <c r="I274" s="186"/>
      <c r="J274" s="186"/>
      <c r="K274" s="185"/>
      <c r="L274" s="185"/>
      <c r="M274" s="185"/>
      <c r="N274" s="185"/>
      <c r="O274" s="185"/>
      <c r="P274" s="185"/>
      <c r="Q274" s="185"/>
      <c r="R274" s="185"/>
    </row>
    <row r="275" spans="1:18">
      <c r="A275" s="185"/>
      <c r="B275" s="661"/>
      <c r="C275" s="185"/>
      <c r="D275" s="186"/>
      <c r="E275" s="186"/>
      <c r="F275" s="186"/>
      <c r="G275" s="186"/>
      <c r="H275" s="186"/>
      <c r="I275" s="186"/>
      <c r="J275" s="186"/>
      <c r="K275" s="185"/>
      <c r="L275" s="185"/>
      <c r="M275" s="185"/>
      <c r="N275" s="185"/>
      <c r="O275" s="185"/>
      <c r="P275" s="185"/>
      <c r="Q275" s="185"/>
      <c r="R275" s="185"/>
    </row>
    <row r="276" spans="1:18">
      <c r="A276" s="185"/>
      <c r="B276" s="661"/>
      <c r="C276" s="185"/>
      <c r="D276" s="186"/>
      <c r="E276" s="186"/>
      <c r="F276" s="186"/>
      <c r="G276" s="186"/>
      <c r="H276" s="186"/>
      <c r="I276" s="186"/>
      <c r="J276" s="186"/>
      <c r="K276" s="185"/>
      <c r="L276" s="185"/>
      <c r="M276" s="185"/>
      <c r="N276" s="185"/>
      <c r="O276" s="185"/>
      <c r="P276" s="185"/>
      <c r="Q276" s="185"/>
      <c r="R276" s="185"/>
    </row>
    <row r="277" spans="1:18">
      <c r="A277" s="185"/>
      <c r="B277" s="661"/>
      <c r="C277" s="185"/>
      <c r="D277" s="186"/>
      <c r="E277" s="186"/>
      <c r="F277" s="186"/>
      <c r="G277" s="186"/>
      <c r="H277" s="186"/>
      <c r="I277" s="186"/>
      <c r="J277" s="186"/>
      <c r="K277" s="185"/>
      <c r="L277" s="185"/>
      <c r="M277" s="185"/>
      <c r="N277" s="185"/>
      <c r="O277" s="185"/>
      <c r="P277" s="185"/>
      <c r="Q277" s="185"/>
      <c r="R277" s="185"/>
    </row>
    <row r="278" spans="1:18">
      <c r="A278" s="185"/>
      <c r="B278" s="661"/>
      <c r="C278" s="185"/>
      <c r="D278" s="186"/>
      <c r="E278" s="186"/>
      <c r="F278" s="186"/>
      <c r="G278" s="186"/>
      <c r="H278" s="186"/>
      <c r="I278" s="186"/>
      <c r="J278" s="186"/>
      <c r="K278" s="185"/>
      <c r="L278" s="185"/>
      <c r="M278" s="185"/>
      <c r="N278" s="185"/>
      <c r="O278" s="185"/>
      <c r="P278" s="185"/>
      <c r="Q278" s="185"/>
      <c r="R278" s="185"/>
    </row>
    <row r="279" spans="1:18">
      <c r="A279" s="185"/>
      <c r="B279" s="661"/>
      <c r="C279" s="185"/>
      <c r="D279" s="186"/>
      <c r="E279" s="186"/>
      <c r="F279" s="186"/>
      <c r="G279" s="186"/>
      <c r="H279" s="186"/>
      <c r="I279" s="186"/>
      <c r="J279" s="186"/>
      <c r="K279" s="185"/>
      <c r="L279" s="185"/>
      <c r="M279" s="185"/>
      <c r="N279" s="185"/>
      <c r="O279" s="185"/>
      <c r="P279" s="185"/>
      <c r="Q279" s="185"/>
      <c r="R279" s="185"/>
    </row>
    <row r="280" spans="1:18">
      <c r="A280" s="185"/>
      <c r="B280" s="661"/>
      <c r="C280" s="185"/>
      <c r="D280" s="186"/>
      <c r="E280" s="186"/>
      <c r="F280" s="186"/>
      <c r="G280" s="186"/>
      <c r="H280" s="186"/>
      <c r="I280" s="186"/>
      <c r="J280" s="186"/>
      <c r="K280" s="185"/>
      <c r="L280" s="185"/>
      <c r="M280" s="185"/>
      <c r="N280" s="185"/>
      <c r="O280" s="185"/>
      <c r="P280" s="185"/>
      <c r="Q280" s="185"/>
      <c r="R280" s="185"/>
    </row>
    <row r="281" spans="1:18">
      <c r="A281" s="185"/>
      <c r="B281" s="661"/>
      <c r="C281" s="185"/>
      <c r="D281" s="186"/>
      <c r="E281" s="186"/>
      <c r="F281" s="186"/>
      <c r="G281" s="186"/>
      <c r="H281" s="186"/>
      <c r="I281" s="186"/>
      <c r="J281" s="186"/>
      <c r="K281" s="185"/>
      <c r="L281" s="185"/>
      <c r="M281" s="185"/>
      <c r="N281" s="185"/>
      <c r="O281" s="185"/>
      <c r="P281" s="185"/>
      <c r="Q281" s="185"/>
      <c r="R281" s="185"/>
    </row>
    <row r="282" spans="1:18">
      <c r="A282" s="185"/>
      <c r="B282" s="661"/>
      <c r="C282" s="185"/>
      <c r="D282" s="186"/>
      <c r="E282" s="186"/>
      <c r="F282" s="186"/>
      <c r="G282" s="186"/>
      <c r="H282" s="186"/>
      <c r="I282" s="186"/>
      <c r="J282" s="186"/>
      <c r="K282" s="185"/>
      <c r="L282" s="185"/>
      <c r="M282" s="185"/>
      <c r="N282" s="185"/>
      <c r="O282" s="185"/>
      <c r="P282" s="185"/>
      <c r="Q282" s="185"/>
      <c r="R282" s="185"/>
    </row>
    <row r="283" spans="1:18">
      <c r="A283" s="185"/>
      <c r="B283" s="661"/>
      <c r="C283" s="185"/>
      <c r="D283" s="186"/>
      <c r="E283" s="186"/>
      <c r="F283" s="186"/>
      <c r="G283" s="186"/>
      <c r="H283" s="186"/>
      <c r="I283" s="186"/>
      <c r="J283" s="186"/>
      <c r="K283" s="185"/>
      <c r="L283" s="185"/>
      <c r="M283" s="185"/>
      <c r="N283" s="185"/>
      <c r="O283" s="185"/>
      <c r="P283" s="185"/>
      <c r="Q283" s="185"/>
      <c r="R283" s="185"/>
    </row>
    <row r="284" spans="1:18">
      <c r="A284" s="185"/>
      <c r="B284" s="661"/>
      <c r="C284" s="185"/>
      <c r="D284" s="186"/>
      <c r="E284" s="186"/>
      <c r="F284" s="186"/>
      <c r="G284" s="186"/>
      <c r="H284" s="186"/>
      <c r="I284" s="186"/>
      <c r="J284" s="186"/>
      <c r="K284" s="185"/>
      <c r="L284" s="185"/>
      <c r="M284" s="185"/>
      <c r="N284" s="185"/>
      <c r="O284" s="185"/>
      <c r="P284" s="185"/>
      <c r="Q284" s="185"/>
      <c r="R284" s="185"/>
    </row>
    <row r="285" spans="1:18">
      <c r="A285" s="185"/>
      <c r="B285" s="661"/>
      <c r="C285" s="185"/>
      <c r="D285" s="186"/>
      <c r="E285" s="186"/>
      <c r="F285" s="186"/>
      <c r="G285" s="186"/>
      <c r="H285" s="186"/>
      <c r="I285" s="186"/>
      <c r="J285" s="186"/>
      <c r="K285" s="185"/>
      <c r="L285" s="185"/>
      <c r="M285" s="185"/>
      <c r="N285" s="185"/>
      <c r="O285" s="185"/>
      <c r="P285" s="185"/>
      <c r="Q285" s="185"/>
      <c r="R285" s="185"/>
    </row>
    <row r="286" spans="1:18">
      <c r="A286" s="185"/>
      <c r="B286" s="661"/>
      <c r="C286" s="185"/>
      <c r="D286" s="186"/>
      <c r="E286" s="186"/>
      <c r="F286" s="186"/>
      <c r="G286" s="186"/>
      <c r="H286" s="186"/>
      <c r="I286" s="186"/>
      <c r="J286" s="186"/>
      <c r="K286" s="185"/>
      <c r="L286" s="185"/>
      <c r="M286" s="185"/>
      <c r="N286" s="185"/>
      <c r="O286" s="185"/>
      <c r="P286" s="185"/>
      <c r="Q286" s="185"/>
      <c r="R286" s="185"/>
    </row>
    <row r="287" spans="1:18">
      <c r="A287" s="185"/>
      <c r="B287" s="661"/>
      <c r="C287" s="185"/>
      <c r="D287" s="186"/>
      <c r="E287" s="186"/>
      <c r="F287" s="186"/>
      <c r="G287" s="186"/>
      <c r="H287" s="186"/>
      <c r="I287" s="186"/>
      <c r="J287" s="186"/>
      <c r="K287" s="185"/>
      <c r="L287" s="185"/>
      <c r="M287" s="185"/>
      <c r="N287" s="185"/>
      <c r="O287" s="185"/>
      <c r="P287" s="185"/>
      <c r="Q287" s="185"/>
      <c r="R287" s="185"/>
    </row>
    <row r="288" spans="1:18">
      <c r="A288" s="185"/>
      <c r="B288" s="661"/>
      <c r="C288" s="185"/>
      <c r="D288" s="186"/>
      <c r="E288" s="186"/>
      <c r="F288" s="186"/>
      <c r="G288" s="186"/>
      <c r="H288" s="186"/>
      <c r="I288" s="186"/>
      <c r="J288" s="186"/>
      <c r="K288" s="185"/>
      <c r="L288" s="185"/>
      <c r="M288" s="185"/>
      <c r="N288" s="185"/>
      <c r="O288" s="185"/>
      <c r="P288" s="185"/>
      <c r="Q288" s="185"/>
      <c r="R288" s="185"/>
    </row>
    <row r="289" spans="1:18">
      <c r="A289" s="185"/>
      <c r="B289" s="661"/>
      <c r="C289" s="185"/>
      <c r="D289" s="186"/>
      <c r="E289" s="186"/>
      <c r="F289" s="186"/>
      <c r="G289" s="186"/>
      <c r="H289" s="186"/>
      <c r="I289" s="186"/>
      <c r="J289" s="186"/>
      <c r="K289" s="185"/>
      <c r="L289" s="185"/>
      <c r="M289" s="185"/>
      <c r="N289" s="185"/>
      <c r="O289" s="185"/>
      <c r="P289" s="185"/>
      <c r="Q289" s="185"/>
      <c r="R289" s="185"/>
    </row>
    <row r="290" spans="1:18">
      <c r="A290" s="185"/>
      <c r="B290" s="661"/>
      <c r="C290" s="185"/>
      <c r="D290" s="186"/>
      <c r="E290" s="186"/>
      <c r="F290" s="186"/>
      <c r="G290" s="186"/>
      <c r="H290" s="186"/>
      <c r="I290" s="186"/>
      <c r="J290" s="186"/>
      <c r="K290" s="185"/>
      <c r="L290" s="185"/>
      <c r="M290" s="185"/>
      <c r="N290" s="185"/>
      <c r="O290" s="185"/>
      <c r="P290" s="185"/>
      <c r="Q290" s="185"/>
      <c r="R290" s="185"/>
    </row>
    <row r="291" spans="1:18">
      <c r="A291" s="185"/>
      <c r="B291" s="661"/>
      <c r="C291" s="185"/>
      <c r="D291" s="186"/>
      <c r="E291" s="186"/>
      <c r="F291" s="186"/>
      <c r="G291" s="186"/>
      <c r="H291" s="186"/>
      <c r="I291" s="186"/>
      <c r="J291" s="186"/>
      <c r="K291" s="185"/>
      <c r="L291" s="185"/>
      <c r="M291" s="185"/>
      <c r="N291" s="185"/>
      <c r="O291" s="185"/>
      <c r="P291" s="185"/>
      <c r="Q291" s="185"/>
      <c r="R291" s="185"/>
    </row>
    <row r="292" spans="1:18">
      <c r="A292" s="185"/>
      <c r="B292" s="661"/>
      <c r="C292" s="185"/>
      <c r="D292" s="186"/>
      <c r="E292" s="186"/>
      <c r="F292" s="186"/>
      <c r="G292" s="186"/>
      <c r="H292" s="186"/>
      <c r="I292" s="186"/>
      <c r="J292" s="186"/>
      <c r="K292" s="185"/>
      <c r="L292" s="185"/>
      <c r="M292" s="185"/>
      <c r="N292" s="185"/>
      <c r="O292" s="185"/>
      <c r="P292" s="185"/>
      <c r="Q292" s="185"/>
      <c r="R292" s="185"/>
    </row>
    <row r="293" spans="1:18">
      <c r="A293" s="185"/>
      <c r="B293" s="661"/>
      <c r="C293" s="185"/>
      <c r="D293" s="186"/>
      <c r="E293" s="186"/>
      <c r="F293" s="186"/>
      <c r="G293" s="186"/>
      <c r="H293" s="186"/>
      <c r="I293" s="186"/>
      <c r="J293" s="186"/>
      <c r="K293" s="185"/>
      <c r="L293" s="185"/>
      <c r="M293" s="185"/>
      <c r="N293" s="185"/>
      <c r="O293" s="185"/>
      <c r="P293" s="185"/>
      <c r="Q293" s="185"/>
      <c r="R293" s="185"/>
    </row>
    <row r="294" spans="1:18">
      <c r="A294" s="185"/>
      <c r="B294" s="661"/>
      <c r="C294" s="185"/>
      <c r="D294" s="186"/>
      <c r="E294" s="186"/>
      <c r="F294" s="186"/>
      <c r="G294" s="186"/>
      <c r="H294" s="186"/>
      <c r="I294" s="186"/>
      <c r="J294" s="186"/>
      <c r="K294" s="185"/>
      <c r="L294" s="185"/>
      <c r="M294" s="185"/>
      <c r="N294" s="185"/>
      <c r="O294" s="185"/>
      <c r="P294" s="185"/>
      <c r="Q294" s="185"/>
      <c r="R294" s="185"/>
    </row>
    <row r="295" spans="1:18">
      <c r="A295" s="185"/>
      <c r="B295" s="661"/>
      <c r="C295" s="185"/>
      <c r="D295" s="186"/>
      <c r="E295" s="186"/>
      <c r="F295" s="186"/>
      <c r="G295" s="186"/>
      <c r="H295" s="186"/>
      <c r="I295" s="186"/>
      <c r="J295" s="186"/>
      <c r="K295" s="185"/>
      <c r="L295" s="185"/>
      <c r="M295" s="185"/>
      <c r="N295" s="185"/>
      <c r="O295" s="185"/>
      <c r="P295" s="185"/>
      <c r="Q295" s="185"/>
      <c r="R295" s="185"/>
    </row>
    <row r="296" spans="1:18">
      <c r="A296" s="185"/>
      <c r="B296" s="661"/>
      <c r="C296" s="185"/>
      <c r="D296" s="186"/>
      <c r="E296" s="186"/>
      <c r="F296" s="186"/>
      <c r="G296" s="186"/>
      <c r="H296" s="186"/>
      <c r="I296" s="186"/>
      <c r="J296" s="186"/>
      <c r="K296" s="185"/>
      <c r="L296" s="185"/>
      <c r="M296" s="185"/>
      <c r="N296" s="185"/>
      <c r="O296" s="185"/>
      <c r="P296" s="185"/>
      <c r="Q296" s="185"/>
      <c r="R296" s="185"/>
    </row>
    <row r="297" spans="1:18">
      <c r="A297" s="185"/>
      <c r="B297" s="661"/>
      <c r="C297" s="185"/>
      <c r="D297" s="186"/>
      <c r="E297" s="186"/>
      <c r="F297" s="186"/>
      <c r="G297" s="186"/>
      <c r="H297" s="186"/>
      <c r="I297" s="186"/>
      <c r="J297" s="186"/>
      <c r="K297" s="185"/>
      <c r="L297" s="185"/>
      <c r="M297" s="185"/>
      <c r="N297" s="185"/>
      <c r="O297" s="185"/>
      <c r="P297" s="185"/>
      <c r="Q297" s="185"/>
      <c r="R297" s="185"/>
    </row>
    <row r="298" spans="1:18">
      <c r="A298" s="185"/>
      <c r="B298" s="661"/>
      <c r="C298" s="185"/>
      <c r="D298" s="186"/>
      <c r="E298" s="186"/>
      <c r="F298" s="186"/>
      <c r="G298" s="186"/>
      <c r="H298" s="186"/>
      <c r="I298" s="186"/>
      <c r="J298" s="186"/>
      <c r="K298" s="185"/>
      <c r="L298" s="185"/>
      <c r="M298" s="185"/>
      <c r="N298" s="185"/>
      <c r="O298" s="185"/>
      <c r="P298" s="185"/>
      <c r="Q298" s="185"/>
      <c r="R298" s="185"/>
    </row>
    <row r="299" spans="1:18">
      <c r="A299" s="185"/>
      <c r="B299" s="661"/>
      <c r="C299" s="185"/>
      <c r="D299" s="186"/>
      <c r="E299" s="186"/>
      <c r="F299" s="186"/>
      <c r="G299" s="186"/>
      <c r="H299" s="186"/>
      <c r="I299" s="186"/>
      <c r="J299" s="186"/>
      <c r="K299" s="185"/>
      <c r="L299" s="185"/>
      <c r="M299" s="185"/>
      <c r="N299" s="185"/>
      <c r="O299" s="185"/>
      <c r="P299" s="185"/>
      <c r="Q299" s="185"/>
      <c r="R299" s="185"/>
    </row>
    <row r="300" spans="1:18">
      <c r="A300" s="185"/>
      <c r="B300" s="661"/>
      <c r="C300" s="185"/>
      <c r="D300" s="186"/>
      <c r="E300" s="186"/>
      <c r="F300" s="186"/>
      <c r="G300" s="186"/>
      <c r="H300" s="186"/>
      <c r="I300" s="186"/>
      <c r="J300" s="186"/>
      <c r="K300" s="185"/>
      <c r="L300" s="185"/>
      <c r="M300" s="185"/>
      <c r="N300" s="185"/>
      <c r="O300" s="185"/>
      <c r="P300" s="185"/>
      <c r="Q300" s="185"/>
      <c r="R300" s="185"/>
    </row>
    <row r="301" spans="1:18">
      <c r="A301" s="185"/>
      <c r="B301" s="661"/>
      <c r="C301" s="185"/>
      <c r="D301" s="186"/>
      <c r="E301" s="186"/>
      <c r="F301" s="186"/>
      <c r="G301" s="186"/>
      <c r="H301" s="186"/>
      <c r="I301" s="186"/>
      <c r="J301" s="186"/>
      <c r="K301" s="185"/>
      <c r="L301" s="185"/>
      <c r="M301" s="185"/>
      <c r="N301" s="185"/>
      <c r="O301" s="185"/>
      <c r="P301" s="185"/>
      <c r="Q301" s="185"/>
      <c r="R301" s="185"/>
    </row>
    <row r="302" spans="1:18">
      <c r="A302" s="185"/>
      <c r="B302" s="661"/>
      <c r="C302" s="185"/>
      <c r="D302" s="186"/>
      <c r="E302" s="186"/>
      <c r="F302" s="186"/>
      <c r="G302" s="186"/>
      <c r="H302" s="186"/>
      <c r="I302" s="186"/>
      <c r="J302" s="186"/>
      <c r="K302" s="185"/>
      <c r="L302" s="185"/>
      <c r="M302" s="185"/>
      <c r="N302" s="185"/>
      <c r="O302" s="185"/>
      <c r="P302" s="185"/>
      <c r="Q302" s="185"/>
      <c r="R302" s="185"/>
    </row>
    <row r="303" spans="1:18">
      <c r="A303" s="185"/>
      <c r="B303" s="661"/>
      <c r="C303" s="185"/>
      <c r="D303" s="186"/>
      <c r="E303" s="186"/>
      <c r="F303" s="186"/>
      <c r="G303" s="186"/>
      <c r="H303" s="186"/>
      <c r="I303" s="186"/>
      <c r="J303" s="186"/>
      <c r="K303" s="185"/>
      <c r="L303" s="185"/>
      <c r="M303" s="185"/>
      <c r="N303" s="185"/>
      <c r="O303" s="185"/>
      <c r="P303" s="185"/>
      <c r="Q303" s="185"/>
      <c r="R303" s="185"/>
    </row>
    <row r="304" spans="1:18">
      <c r="A304" s="185"/>
      <c r="B304" s="661"/>
      <c r="C304" s="185"/>
      <c r="D304" s="186"/>
      <c r="E304" s="186"/>
      <c r="F304" s="186"/>
      <c r="G304" s="186"/>
      <c r="H304" s="186"/>
      <c r="I304" s="186"/>
      <c r="J304" s="186"/>
      <c r="K304" s="185"/>
      <c r="L304" s="185"/>
      <c r="M304" s="185"/>
      <c r="N304" s="185"/>
      <c r="O304" s="185"/>
      <c r="P304" s="185"/>
      <c r="Q304" s="185"/>
      <c r="R304" s="185"/>
    </row>
    <row r="305" spans="1:18">
      <c r="A305" s="185"/>
      <c r="B305" s="661"/>
      <c r="C305" s="185"/>
      <c r="D305" s="186"/>
      <c r="E305" s="186"/>
      <c r="F305" s="186"/>
      <c r="G305" s="186"/>
      <c r="H305" s="186"/>
      <c r="I305" s="186"/>
      <c r="J305" s="186"/>
      <c r="K305" s="185"/>
      <c r="L305" s="185"/>
      <c r="M305" s="185"/>
      <c r="N305" s="185"/>
      <c r="O305" s="185"/>
      <c r="P305" s="185"/>
      <c r="Q305" s="185"/>
      <c r="R305" s="185"/>
    </row>
    <row r="306" spans="1:18">
      <c r="A306" s="185"/>
      <c r="B306" s="661"/>
      <c r="C306" s="185"/>
      <c r="D306" s="186"/>
      <c r="E306" s="186"/>
      <c r="F306" s="186"/>
      <c r="G306" s="186"/>
      <c r="H306" s="186"/>
      <c r="I306" s="186"/>
      <c r="J306" s="186"/>
      <c r="K306" s="185"/>
      <c r="L306" s="185"/>
      <c r="M306" s="185"/>
      <c r="N306" s="185"/>
      <c r="O306" s="185"/>
      <c r="P306" s="185"/>
      <c r="Q306" s="185"/>
      <c r="R306" s="185"/>
    </row>
    <row r="307" spans="1:18">
      <c r="A307" s="185"/>
      <c r="B307" s="661"/>
      <c r="C307" s="185"/>
      <c r="D307" s="186"/>
      <c r="E307" s="186"/>
      <c r="F307" s="186"/>
      <c r="G307" s="186"/>
      <c r="H307" s="186"/>
      <c r="I307" s="186"/>
      <c r="J307" s="186"/>
      <c r="K307" s="185"/>
      <c r="L307" s="185"/>
      <c r="M307" s="185"/>
      <c r="N307" s="185"/>
      <c r="O307" s="185"/>
      <c r="P307" s="185"/>
      <c r="Q307" s="185"/>
      <c r="R307" s="185"/>
    </row>
    <row r="308" spans="1:18">
      <c r="A308" s="185"/>
      <c r="B308" s="661"/>
      <c r="C308" s="185"/>
      <c r="D308" s="186"/>
      <c r="E308" s="186"/>
      <c r="F308" s="186"/>
      <c r="G308" s="186"/>
      <c r="H308" s="186"/>
      <c r="I308" s="186"/>
      <c r="J308" s="186"/>
      <c r="K308" s="185"/>
      <c r="L308" s="185"/>
      <c r="M308" s="185"/>
      <c r="N308" s="185"/>
      <c r="O308" s="185"/>
      <c r="P308" s="185"/>
      <c r="Q308" s="185"/>
      <c r="R308" s="185"/>
    </row>
    <row r="309" spans="1:18">
      <c r="A309" s="185"/>
      <c r="B309" s="661"/>
      <c r="C309" s="185"/>
      <c r="D309" s="186"/>
      <c r="E309" s="186"/>
      <c r="F309" s="186"/>
      <c r="G309" s="186"/>
      <c r="H309" s="186"/>
      <c r="I309" s="186"/>
      <c r="J309" s="186"/>
      <c r="K309" s="185"/>
      <c r="L309" s="185"/>
      <c r="M309" s="185"/>
      <c r="N309" s="185"/>
      <c r="O309" s="185"/>
      <c r="P309" s="185"/>
      <c r="Q309" s="185"/>
      <c r="R309" s="185"/>
    </row>
    <row r="310" spans="1:18">
      <c r="A310" s="185"/>
      <c r="B310" s="661"/>
      <c r="C310" s="185"/>
      <c r="D310" s="186"/>
      <c r="E310" s="186"/>
      <c r="F310" s="186"/>
      <c r="G310" s="186"/>
      <c r="H310" s="186"/>
      <c r="I310" s="186"/>
      <c r="J310" s="186"/>
      <c r="K310" s="185"/>
      <c r="L310" s="185"/>
      <c r="M310" s="185"/>
      <c r="N310" s="185"/>
      <c r="O310" s="185"/>
      <c r="P310" s="185"/>
      <c r="Q310" s="185"/>
      <c r="R310" s="185"/>
    </row>
    <row r="311" spans="1:18">
      <c r="A311" s="185"/>
      <c r="B311" s="661"/>
      <c r="C311" s="185"/>
      <c r="D311" s="186"/>
      <c r="E311" s="186"/>
      <c r="F311" s="186"/>
      <c r="G311" s="186"/>
      <c r="H311" s="186"/>
      <c r="I311" s="186"/>
      <c r="J311" s="186"/>
      <c r="K311" s="185"/>
      <c r="L311" s="185"/>
      <c r="M311" s="185"/>
      <c r="N311" s="185"/>
      <c r="O311" s="185"/>
      <c r="P311" s="185"/>
      <c r="Q311" s="185"/>
      <c r="R311" s="185"/>
    </row>
    <row r="312" spans="1:18">
      <c r="A312" s="185"/>
      <c r="B312" s="661"/>
      <c r="C312" s="185"/>
      <c r="D312" s="186"/>
      <c r="E312" s="186"/>
      <c r="F312" s="186"/>
      <c r="G312" s="186"/>
      <c r="H312" s="186"/>
      <c r="I312" s="186"/>
      <c r="J312" s="186"/>
      <c r="K312" s="185"/>
      <c r="L312" s="185"/>
      <c r="M312" s="185"/>
      <c r="N312" s="185"/>
      <c r="O312" s="185"/>
      <c r="P312" s="185"/>
      <c r="Q312" s="185"/>
      <c r="R312" s="185"/>
    </row>
    <row r="313" spans="1:18">
      <c r="A313" s="185"/>
      <c r="B313" s="661"/>
      <c r="C313" s="185"/>
      <c r="D313" s="186"/>
      <c r="E313" s="186"/>
      <c r="F313" s="186"/>
      <c r="G313" s="186"/>
      <c r="H313" s="186"/>
      <c r="I313" s="186"/>
      <c r="J313" s="186"/>
      <c r="K313" s="185"/>
      <c r="L313" s="185"/>
      <c r="M313" s="185"/>
      <c r="N313" s="185"/>
      <c r="O313" s="185"/>
      <c r="P313" s="185"/>
      <c r="Q313" s="185"/>
      <c r="R313" s="185"/>
    </row>
    <row r="314" spans="1:18">
      <c r="A314" s="185"/>
      <c r="B314" s="661"/>
      <c r="C314" s="185"/>
      <c r="D314" s="186"/>
      <c r="E314" s="186"/>
      <c r="F314" s="186"/>
      <c r="G314" s="186"/>
      <c r="H314" s="186"/>
      <c r="I314" s="186"/>
      <c r="J314" s="186"/>
      <c r="K314" s="185"/>
      <c r="L314" s="185"/>
      <c r="M314" s="185"/>
      <c r="N314" s="185"/>
      <c r="O314" s="185"/>
      <c r="P314" s="185"/>
      <c r="Q314" s="185"/>
      <c r="R314" s="185"/>
    </row>
    <row r="315" spans="1:18">
      <c r="A315" s="185"/>
      <c r="B315" s="661"/>
      <c r="C315" s="185"/>
      <c r="D315" s="186"/>
      <c r="E315" s="186"/>
      <c r="F315" s="186"/>
      <c r="G315" s="186"/>
      <c r="H315" s="186"/>
      <c r="I315" s="186"/>
      <c r="J315" s="186"/>
      <c r="K315" s="185"/>
      <c r="L315" s="185"/>
      <c r="M315" s="185"/>
      <c r="N315" s="185"/>
      <c r="O315" s="185"/>
      <c r="P315" s="185"/>
      <c r="Q315" s="185"/>
      <c r="R315" s="185"/>
    </row>
    <row r="316" spans="1:18">
      <c r="A316" s="185"/>
      <c r="B316" s="661"/>
      <c r="C316" s="185"/>
      <c r="D316" s="186"/>
      <c r="E316" s="186"/>
      <c r="F316" s="186"/>
      <c r="G316" s="186"/>
      <c r="H316" s="186"/>
      <c r="I316" s="186"/>
      <c r="J316" s="186"/>
      <c r="K316" s="185"/>
      <c r="L316" s="185"/>
      <c r="M316" s="185"/>
      <c r="N316" s="185"/>
      <c r="O316" s="185"/>
      <c r="P316" s="185"/>
      <c r="Q316" s="185"/>
      <c r="R316" s="185"/>
    </row>
    <row r="317" spans="1:18">
      <c r="A317" s="185"/>
      <c r="B317" s="661"/>
      <c r="C317" s="185"/>
      <c r="D317" s="186"/>
      <c r="E317" s="186"/>
      <c r="F317" s="186"/>
      <c r="G317" s="186"/>
      <c r="H317" s="186"/>
      <c r="I317" s="186"/>
      <c r="J317" s="186"/>
      <c r="K317" s="185"/>
      <c r="L317" s="185"/>
      <c r="M317" s="185"/>
      <c r="N317" s="185"/>
      <c r="O317" s="185"/>
      <c r="P317" s="185"/>
      <c r="Q317" s="185"/>
      <c r="R317" s="185"/>
    </row>
    <row r="318" spans="1:18">
      <c r="A318" s="185"/>
      <c r="B318" s="661"/>
      <c r="C318" s="185"/>
      <c r="D318" s="186"/>
      <c r="E318" s="186"/>
      <c r="F318" s="186"/>
      <c r="G318" s="186"/>
      <c r="H318" s="186"/>
      <c r="I318" s="186"/>
      <c r="J318" s="186"/>
      <c r="K318" s="185"/>
      <c r="L318" s="185"/>
      <c r="M318" s="185"/>
      <c r="N318" s="185"/>
      <c r="O318" s="185"/>
      <c r="P318" s="185"/>
      <c r="Q318" s="185"/>
      <c r="R318" s="185"/>
    </row>
    <row r="319" spans="1:18">
      <c r="A319" s="185"/>
      <c r="B319" s="661"/>
      <c r="C319" s="185"/>
      <c r="D319" s="186"/>
      <c r="E319" s="186"/>
      <c r="F319" s="186"/>
      <c r="G319" s="186"/>
      <c r="H319" s="186"/>
      <c r="I319" s="186"/>
      <c r="J319" s="186"/>
      <c r="K319" s="185"/>
      <c r="L319" s="185"/>
      <c r="M319" s="185"/>
      <c r="N319" s="185"/>
      <c r="O319" s="185"/>
      <c r="P319" s="185"/>
      <c r="Q319" s="185"/>
      <c r="R319" s="185"/>
    </row>
    <row r="320" spans="1:18">
      <c r="A320" s="185"/>
      <c r="B320" s="661"/>
      <c r="C320" s="185"/>
      <c r="D320" s="186"/>
      <c r="E320" s="186"/>
      <c r="F320" s="186"/>
      <c r="G320" s="186"/>
      <c r="H320" s="186"/>
      <c r="I320" s="186"/>
      <c r="J320" s="186"/>
      <c r="K320" s="185"/>
      <c r="L320" s="185"/>
      <c r="M320" s="185"/>
      <c r="N320" s="185"/>
      <c r="O320" s="185"/>
      <c r="P320" s="185"/>
      <c r="Q320" s="185"/>
      <c r="R320" s="185"/>
    </row>
    <row r="321" spans="1:18">
      <c r="A321" s="185"/>
      <c r="B321" s="661"/>
      <c r="C321" s="185"/>
      <c r="D321" s="186"/>
      <c r="E321" s="186"/>
      <c r="F321" s="186"/>
      <c r="G321" s="186"/>
      <c r="H321" s="186"/>
      <c r="I321" s="186"/>
      <c r="J321" s="186"/>
      <c r="K321" s="185"/>
      <c r="L321" s="185"/>
      <c r="M321" s="185"/>
      <c r="N321" s="185"/>
      <c r="O321" s="185"/>
      <c r="P321" s="185"/>
      <c r="Q321" s="185"/>
      <c r="R321" s="185"/>
    </row>
    <row r="322" spans="1:18">
      <c r="A322" s="185"/>
      <c r="B322" s="661"/>
      <c r="C322" s="185"/>
      <c r="D322" s="186"/>
      <c r="E322" s="186"/>
      <c r="F322" s="186"/>
      <c r="G322" s="186"/>
      <c r="H322" s="186"/>
      <c r="I322" s="186"/>
      <c r="J322" s="186"/>
      <c r="K322" s="185"/>
      <c r="L322" s="185"/>
      <c r="M322" s="185"/>
      <c r="N322" s="185"/>
      <c r="O322" s="185"/>
      <c r="P322" s="185"/>
      <c r="Q322" s="185"/>
      <c r="R322" s="185"/>
    </row>
    <row r="323" spans="1:18">
      <c r="A323" s="185"/>
      <c r="B323" s="661"/>
      <c r="C323" s="185"/>
      <c r="D323" s="186"/>
      <c r="E323" s="186"/>
      <c r="F323" s="186"/>
      <c r="G323" s="186"/>
      <c r="H323" s="186"/>
      <c r="I323" s="186"/>
      <c r="J323" s="186"/>
      <c r="K323" s="185"/>
      <c r="L323" s="185"/>
      <c r="M323" s="185"/>
      <c r="N323" s="185"/>
      <c r="O323" s="185"/>
      <c r="P323" s="185"/>
      <c r="Q323" s="185"/>
      <c r="R323" s="185"/>
    </row>
    <row r="324" spans="1:18">
      <c r="A324" s="185"/>
      <c r="B324" s="661"/>
      <c r="C324" s="185"/>
      <c r="D324" s="186"/>
      <c r="E324" s="186"/>
      <c r="F324" s="186"/>
      <c r="G324" s="186"/>
      <c r="H324" s="186"/>
      <c r="I324" s="186"/>
      <c r="J324" s="186"/>
      <c r="K324" s="185"/>
      <c r="L324" s="185"/>
      <c r="M324" s="185"/>
      <c r="N324" s="185"/>
      <c r="O324" s="185"/>
      <c r="P324" s="185"/>
      <c r="Q324" s="185"/>
      <c r="R324" s="185"/>
    </row>
    <row r="325" spans="1:18">
      <c r="A325" s="185"/>
      <c r="B325" s="661"/>
      <c r="C325" s="185"/>
      <c r="D325" s="186"/>
      <c r="E325" s="186"/>
      <c r="F325" s="186"/>
      <c r="G325" s="186"/>
      <c r="H325" s="186"/>
      <c r="I325" s="186"/>
      <c r="J325" s="186"/>
      <c r="K325" s="185"/>
      <c r="L325" s="185"/>
      <c r="M325" s="185"/>
      <c r="N325" s="185"/>
      <c r="O325" s="185"/>
      <c r="P325" s="185"/>
      <c r="Q325" s="185"/>
      <c r="R325" s="185"/>
    </row>
    <row r="326" spans="1:18">
      <c r="A326" s="185"/>
      <c r="B326" s="661"/>
      <c r="C326" s="185"/>
      <c r="D326" s="186"/>
      <c r="E326" s="186"/>
      <c r="F326" s="186"/>
      <c r="G326" s="186"/>
      <c r="H326" s="186"/>
      <c r="I326" s="186"/>
      <c r="J326" s="186"/>
      <c r="K326" s="185"/>
      <c r="L326" s="185"/>
      <c r="M326" s="185"/>
      <c r="N326" s="185"/>
      <c r="O326" s="185"/>
      <c r="P326" s="185"/>
      <c r="Q326" s="185"/>
      <c r="R326" s="185"/>
    </row>
    <row r="327" spans="1:18">
      <c r="A327" s="185"/>
      <c r="B327" s="661"/>
      <c r="C327" s="185"/>
      <c r="D327" s="186"/>
      <c r="E327" s="186"/>
      <c r="F327" s="186"/>
      <c r="G327" s="186"/>
      <c r="H327" s="186"/>
      <c r="I327" s="186"/>
      <c r="J327" s="186"/>
      <c r="K327" s="185"/>
      <c r="L327" s="185"/>
      <c r="M327" s="185"/>
      <c r="N327" s="185"/>
      <c r="O327" s="185"/>
      <c r="P327" s="185"/>
      <c r="Q327" s="185"/>
      <c r="R327" s="185"/>
    </row>
    <row r="328" spans="1:18">
      <c r="A328" s="185"/>
      <c r="B328" s="661"/>
      <c r="C328" s="185"/>
      <c r="D328" s="186"/>
      <c r="E328" s="186"/>
      <c r="F328" s="186"/>
      <c r="G328" s="186"/>
      <c r="H328" s="186"/>
      <c r="I328" s="186"/>
      <c r="J328" s="186"/>
      <c r="K328" s="185"/>
      <c r="L328" s="185"/>
      <c r="M328" s="185"/>
      <c r="N328" s="185"/>
      <c r="O328" s="185"/>
      <c r="P328" s="185"/>
      <c r="Q328" s="185"/>
      <c r="R328" s="185"/>
    </row>
    <row r="329" spans="1:18">
      <c r="A329" s="185"/>
      <c r="B329" s="661"/>
      <c r="C329" s="185"/>
      <c r="D329" s="186"/>
      <c r="E329" s="186"/>
      <c r="F329" s="186"/>
      <c r="G329" s="186"/>
      <c r="H329" s="186"/>
      <c r="I329" s="186"/>
      <c r="J329" s="186"/>
      <c r="K329" s="185"/>
      <c r="L329" s="185"/>
      <c r="M329" s="185"/>
      <c r="N329" s="185"/>
      <c r="O329" s="185"/>
      <c r="P329" s="185"/>
      <c r="Q329" s="185"/>
      <c r="R329" s="185"/>
    </row>
    <row r="330" spans="1:18">
      <c r="A330" s="185"/>
      <c r="B330" s="661"/>
      <c r="C330" s="185"/>
      <c r="D330" s="186"/>
      <c r="E330" s="186"/>
      <c r="F330" s="186"/>
      <c r="G330" s="186"/>
      <c r="H330" s="186"/>
      <c r="I330" s="186"/>
      <c r="J330" s="186"/>
      <c r="K330" s="185"/>
      <c r="L330" s="185"/>
      <c r="M330" s="185"/>
      <c r="N330" s="185"/>
      <c r="O330" s="185"/>
      <c r="P330" s="185"/>
      <c r="Q330" s="185"/>
      <c r="R330" s="185"/>
    </row>
    <row r="331" spans="1:18">
      <c r="A331" s="185"/>
      <c r="B331" s="661"/>
      <c r="C331" s="185"/>
      <c r="D331" s="186"/>
      <c r="E331" s="186"/>
      <c r="F331" s="186"/>
      <c r="G331" s="186"/>
      <c r="H331" s="186"/>
      <c r="I331" s="186"/>
      <c r="J331" s="186"/>
      <c r="K331" s="185"/>
      <c r="L331" s="185"/>
      <c r="M331" s="185"/>
      <c r="N331" s="185"/>
      <c r="O331" s="185"/>
      <c r="P331" s="185"/>
      <c r="Q331" s="185"/>
      <c r="R331" s="185"/>
    </row>
    <row r="332" spans="1:18">
      <c r="A332" s="185"/>
      <c r="B332" s="661"/>
      <c r="C332" s="185"/>
      <c r="D332" s="186"/>
      <c r="E332" s="186"/>
      <c r="F332" s="186"/>
      <c r="G332" s="186"/>
      <c r="H332" s="186"/>
      <c r="I332" s="186"/>
      <c r="J332" s="186"/>
      <c r="K332" s="185"/>
      <c r="L332" s="185"/>
      <c r="M332" s="185"/>
      <c r="N332" s="185"/>
      <c r="O332" s="185"/>
      <c r="P332" s="185"/>
      <c r="Q332" s="185"/>
      <c r="R332" s="185"/>
    </row>
    <row r="333" spans="1:18">
      <c r="A333" s="185"/>
      <c r="B333" s="661"/>
      <c r="C333" s="185"/>
      <c r="D333" s="186"/>
      <c r="E333" s="186"/>
      <c r="F333" s="186"/>
      <c r="G333" s="186"/>
      <c r="H333" s="186"/>
      <c r="I333" s="186"/>
      <c r="J333" s="186"/>
      <c r="K333" s="185"/>
      <c r="L333" s="185"/>
      <c r="M333" s="185"/>
      <c r="N333" s="185"/>
      <c r="O333" s="185"/>
      <c r="P333" s="185"/>
      <c r="Q333" s="185"/>
      <c r="R333" s="185"/>
    </row>
    <row r="334" spans="1:18">
      <c r="A334" s="185"/>
      <c r="B334" s="661"/>
      <c r="C334" s="185"/>
      <c r="D334" s="186"/>
      <c r="E334" s="186"/>
      <c r="F334" s="186"/>
      <c r="G334" s="186"/>
      <c r="H334" s="186"/>
      <c r="I334" s="186"/>
      <c r="J334" s="186"/>
      <c r="K334" s="185"/>
      <c r="L334" s="185"/>
      <c r="M334" s="185"/>
      <c r="N334" s="185"/>
      <c r="O334" s="185"/>
      <c r="P334" s="185"/>
      <c r="Q334" s="185"/>
      <c r="R334" s="185"/>
    </row>
    <row r="335" spans="1:18">
      <c r="A335" s="185"/>
      <c r="B335" s="661"/>
      <c r="C335" s="185"/>
      <c r="D335" s="186"/>
      <c r="E335" s="186"/>
      <c r="F335" s="186"/>
      <c r="G335" s="186"/>
      <c r="H335" s="186"/>
      <c r="I335" s="186"/>
      <c r="J335" s="186"/>
      <c r="K335" s="185"/>
      <c r="L335" s="185"/>
      <c r="M335" s="185"/>
      <c r="N335" s="185"/>
      <c r="O335" s="185"/>
      <c r="P335" s="185"/>
      <c r="Q335" s="185"/>
      <c r="R335" s="185"/>
    </row>
    <row r="336" spans="1:18">
      <c r="A336" s="185"/>
      <c r="B336" s="661"/>
      <c r="C336" s="185"/>
      <c r="D336" s="186"/>
      <c r="E336" s="186"/>
      <c r="F336" s="186"/>
      <c r="G336" s="186"/>
      <c r="H336" s="186"/>
      <c r="I336" s="186"/>
      <c r="J336" s="186"/>
      <c r="K336" s="185"/>
      <c r="L336" s="185"/>
      <c r="M336" s="185"/>
      <c r="N336" s="185"/>
      <c r="O336" s="185"/>
      <c r="P336" s="185"/>
      <c r="Q336" s="185"/>
      <c r="R336" s="185"/>
    </row>
    <row r="337" spans="1:18">
      <c r="A337" s="185"/>
      <c r="B337" s="661"/>
      <c r="C337" s="185"/>
      <c r="D337" s="186"/>
      <c r="E337" s="186"/>
      <c r="F337" s="186"/>
      <c r="G337" s="186"/>
      <c r="H337" s="186"/>
      <c r="I337" s="186"/>
      <c r="J337" s="186"/>
      <c r="K337" s="185"/>
      <c r="L337" s="185"/>
      <c r="M337" s="185"/>
      <c r="N337" s="185"/>
      <c r="O337" s="185"/>
      <c r="P337" s="185"/>
      <c r="Q337" s="185"/>
      <c r="R337" s="185"/>
    </row>
    <row r="338" spans="1:18">
      <c r="A338" s="185"/>
      <c r="B338" s="661"/>
      <c r="C338" s="185"/>
      <c r="D338" s="186"/>
      <c r="E338" s="186"/>
      <c r="F338" s="186"/>
      <c r="G338" s="186"/>
      <c r="H338" s="186"/>
      <c r="I338" s="186"/>
      <c r="J338" s="186"/>
      <c r="K338" s="185"/>
      <c r="L338" s="185"/>
      <c r="M338" s="185"/>
      <c r="N338" s="185"/>
      <c r="O338" s="185"/>
      <c r="P338" s="185"/>
      <c r="Q338" s="185"/>
      <c r="R338" s="185"/>
    </row>
    <row r="339" spans="1:18">
      <c r="A339" s="185"/>
      <c r="B339" s="661"/>
      <c r="C339" s="185"/>
      <c r="D339" s="186"/>
      <c r="E339" s="186"/>
      <c r="F339" s="186"/>
      <c r="G339" s="186"/>
      <c r="H339" s="186"/>
      <c r="I339" s="186"/>
      <c r="J339" s="186"/>
      <c r="K339" s="185"/>
      <c r="L339" s="185"/>
      <c r="M339" s="185"/>
      <c r="N339" s="185"/>
      <c r="O339" s="185"/>
      <c r="P339" s="185"/>
      <c r="Q339" s="185"/>
      <c r="R339" s="185"/>
    </row>
    <row r="340" spans="1:18">
      <c r="A340" s="185"/>
      <c r="B340" s="661"/>
      <c r="C340" s="185"/>
      <c r="D340" s="186"/>
      <c r="E340" s="186"/>
      <c r="F340" s="186"/>
      <c r="G340" s="186"/>
      <c r="H340" s="186"/>
      <c r="I340" s="186"/>
      <c r="J340" s="186"/>
      <c r="K340" s="185"/>
      <c r="L340" s="185"/>
      <c r="M340" s="185"/>
      <c r="N340" s="185"/>
      <c r="O340" s="185"/>
      <c r="P340" s="185"/>
      <c r="Q340" s="185"/>
      <c r="R340" s="185"/>
    </row>
    <row r="341" spans="1:18">
      <c r="A341" s="185"/>
      <c r="B341" s="661"/>
      <c r="C341" s="185"/>
      <c r="D341" s="186"/>
      <c r="E341" s="186"/>
      <c r="F341" s="186"/>
      <c r="G341" s="186"/>
      <c r="H341" s="186"/>
      <c r="I341" s="186"/>
      <c r="J341" s="186"/>
      <c r="K341" s="185"/>
      <c r="L341" s="185"/>
      <c r="M341" s="185"/>
      <c r="N341" s="185"/>
      <c r="O341" s="185"/>
      <c r="P341" s="185"/>
      <c r="Q341" s="185"/>
      <c r="R341" s="185"/>
    </row>
    <row r="342" spans="1:18">
      <c r="A342" s="185"/>
      <c r="B342" s="661"/>
      <c r="C342" s="185"/>
      <c r="D342" s="186"/>
      <c r="E342" s="186"/>
      <c r="F342" s="186"/>
      <c r="G342" s="186"/>
      <c r="H342" s="186"/>
      <c r="I342" s="186"/>
      <c r="J342" s="186"/>
      <c r="K342" s="185"/>
      <c r="L342" s="185"/>
      <c r="M342" s="185"/>
      <c r="N342" s="185"/>
      <c r="O342" s="185"/>
      <c r="P342" s="185"/>
      <c r="Q342" s="185"/>
      <c r="R342" s="185"/>
    </row>
    <row r="343" spans="1:18">
      <c r="A343" s="185"/>
      <c r="B343" s="661"/>
      <c r="C343" s="185"/>
      <c r="D343" s="186"/>
      <c r="E343" s="186"/>
      <c r="F343" s="186"/>
      <c r="G343" s="186"/>
      <c r="H343" s="186"/>
      <c r="I343" s="186"/>
      <c r="J343" s="186"/>
      <c r="K343" s="185"/>
      <c r="L343" s="185"/>
      <c r="M343" s="185"/>
      <c r="N343" s="185"/>
      <c r="O343" s="185"/>
      <c r="P343" s="185"/>
      <c r="Q343" s="185"/>
      <c r="R343" s="185"/>
    </row>
    <row r="344" spans="1:18">
      <c r="A344" s="185"/>
      <c r="B344" s="661"/>
      <c r="C344" s="185"/>
      <c r="D344" s="186"/>
      <c r="E344" s="186"/>
      <c r="F344" s="186"/>
      <c r="G344" s="186"/>
      <c r="H344" s="186"/>
      <c r="I344" s="186"/>
      <c r="J344" s="186"/>
      <c r="K344" s="185"/>
      <c r="L344" s="185"/>
      <c r="M344" s="185"/>
      <c r="N344" s="185"/>
      <c r="O344" s="185"/>
      <c r="P344" s="185"/>
      <c r="Q344" s="185"/>
      <c r="R344" s="185"/>
    </row>
    <row r="345" spans="1:18">
      <c r="A345" s="185"/>
      <c r="B345" s="661"/>
      <c r="C345" s="185"/>
      <c r="D345" s="186"/>
      <c r="E345" s="186"/>
      <c r="F345" s="186"/>
      <c r="G345" s="186"/>
      <c r="H345" s="186"/>
      <c r="I345" s="186"/>
      <c r="J345" s="186"/>
      <c r="K345" s="185"/>
      <c r="L345" s="185"/>
      <c r="M345" s="185"/>
      <c r="N345" s="185"/>
      <c r="O345" s="185"/>
      <c r="P345" s="185"/>
      <c r="Q345" s="185"/>
      <c r="R345" s="185"/>
    </row>
    <row r="346" spans="1:18">
      <c r="A346" s="185"/>
      <c r="B346" s="661"/>
      <c r="C346" s="185"/>
      <c r="D346" s="186"/>
      <c r="E346" s="186"/>
      <c r="F346" s="186"/>
      <c r="G346" s="186"/>
      <c r="H346" s="186"/>
      <c r="I346" s="186"/>
      <c r="J346" s="186"/>
      <c r="K346" s="185"/>
      <c r="L346" s="185"/>
      <c r="M346" s="185"/>
      <c r="N346" s="185"/>
      <c r="O346" s="185"/>
      <c r="P346" s="185"/>
      <c r="Q346" s="185"/>
      <c r="R346" s="185"/>
    </row>
    <row r="347" spans="1:18">
      <c r="A347" s="185"/>
      <c r="B347" s="661"/>
      <c r="C347" s="185"/>
      <c r="D347" s="186"/>
      <c r="E347" s="186"/>
      <c r="F347" s="186"/>
      <c r="G347" s="186"/>
      <c r="H347" s="186"/>
      <c r="I347" s="186"/>
      <c r="J347" s="186"/>
      <c r="K347" s="185"/>
      <c r="L347" s="185"/>
      <c r="M347" s="185"/>
      <c r="N347" s="185"/>
      <c r="O347" s="185"/>
      <c r="P347" s="185"/>
      <c r="Q347" s="185"/>
      <c r="R347" s="185"/>
    </row>
    <row r="348" spans="1:18">
      <c r="A348" s="185"/>
      <c r="B348" s="661"/>
      <c r="C348" s="185"/>
      <c r="D348" s="186"/>
      <c r="E348" s="186"/>
      <c r="F348" s="186"/>
      <c r="G348" s="186"/>
      <c r="H348" s="186"/>
      <c r="I348" s="186"/>
      <c r="J348" s="186"/>
      <c r="K348" s="185"/>
      <c r="L348" s="185"/>
      <c r="M348" s="185"/>
      <c r="N348" s="185"/>
      <c r="O348" s="185"/>
      <c r="P348" s="185"/>
      <c r="Q348" s="185"/>
      <c r="R348" s="185"/>
    </row>
    <row r="349" spans="1:18">
      <c r="A349" s="185"/>
      <c r="B349" s="661"/>
      <c r="C349" s="185"/>
      <c r="D349" s="186"/>
      <c r="E349" s="186"/>
      <c r="F349" s="186"/>
      <c r="G349" s="186"/>
      <c r="H349" s="186"/>
      <c r="I349" s="186"/>
      <c r="J349" s="186"/>
      <c r="K349" s="185"/>
      <c r="L349" s="185"/>
      <c r="M349" s="185"/>
      <c r="N349" s="185"/>
      <c r="O349" s="185"/>
      <c r="P349" s="185"/>
      <c r="Q349" s="185"/>
      <c r="R349" s="185"/>
    </row>
    <row r="350" spans="1:18">
      <c r="A350" s="185"/>
      <c r="B350" s="661"/>
      <c r="C350" s="185"/>
      <c r="D350" s="186"/>
      <c r="E350" s="186"/>
      <c r="F350" s="186"/>
      <c r="G350" s="186"/>
      <c r="H350" s="186"/>
      <c r="I350" s="186"/>
      <c r="J350" s="186"/>
      <c r="K350" s="185"/>
      <c r="L350" s="185"/>
      <c r="M350" s="185"/>
      <c r="N350" s="185"/>
      <c r="O350" s="185"/>
      <c r="P350" s="185"/>
      <c r="Q350" s="185"/>
      <c r="R350" s="185"/>
    </row>
    <row r="351" spans="1:18">
      <c r="A351" s="185"/>
      <c r="B351" s="661"/>
      <c r="C351" s="185"/>
      <c r="D351" s="186"/>
      <c r="E351" s="186"/>
      <c r="F351" s="186"/>
      <c r="G351" s="186"/>
      <c r="H351" s="186"/>
      <c r="I351" s="186"/>
      <c r="J351" s="186"/>
      <c r="K351" s="185"/>
      <c r="L351" s="185"/>
      <c r="M351" s="185"/>
      <c r="N351" s="185"/>
      <c r="O351" s="185"/>
      <c r="P351" s="185"/>
      <c r="Q351" s="185"/>
      <c r="R351" s="185"/>
    </row>
    <row r="352" spans="1:18">
      <c r="A352" s="185"/>
      <c r="B352" s="661"/>
      <c r="C352" s="185"/>
      <c r="D352" s="186"/>
      <c r="E352" s="186"/>
      <c r="F352" s="186"/>
      <c r="G352" s="186"/>
      <c r="H352" s="186"/>
      <c r="I352" s="186"/>
      <c r="J352" s="186"/>
      <c r="K352" s="185"/>
      <c r="L352" s="185"/>
      <c r="M352" s="185"/>
      <c r="N352" s="185"/>
      <c r="O352" s="185"/>
      <c r="P352" s="185"/>
      <c r="Q352" s="185"/>
      <c r="R352" s="185"/>
    </row>
    <row r="353" spans="1:18">
      <c r="A353" s="185"/>
      <c r="B353" s="661"/>
      <c r="C353" s="185"/>
      <c r="D353" s="186"/>
      <c r="E353" s="186"/>
      <c r="F353" s="186"/>
      <c r="G353" s="186"/>
      <c r="H353" s="186"/>
      <c r="I353" s="186"/>
      <c r="J353" s="186"/>
      <c r="K353" s="185"/>
      <c r="L353" s="185"/>
      <c r="M353" s="185"/>
      <c r="N353" s="185"/>
      <c r="O353" s="185"/>
      <c r="P353" s="185"/>
      <c r="Q353" s="185"/>
      <c r="R353" s="185"/>
    </row>
    <row r="354" spans="1:18">
      <c r="A354" s="185"/>
      <c r="B354" s="661"/>
      <c r="C354" s="185"/>
      <c r="D354" s="186"/>
      <c r="E354" s="186"/>
      <c r="F354" s="186"/>
      <c r="G354" s="186"/>
      <c r="H354" s="186"/>
      <c r="I354" s="186"/>
      <c r="J354" s="186"/>
      <c r="K354" s="185"/>
      <c r="L354" s="185"/>
      <c r="M354" s="185"/>
      <c r="N354" s="185"/>
      <c r="O354" s="185"/>
      <c r="P354" s="185"/>
      <c r="Q354" s="185"/>
      <c r="R354" s="185"/>
    </row>
    <row r="355" spans="1:18">
      <c r="A355" s="185"/>
      <c r="B355" s="661"/>
      <c r="C355" s="185"/>
      <c r="D355" s="186"/>
      <c r="E355" s="186"/>
      <c r="F355" s="186"/>
      <c r="G355" s="186"/>
      <c r="H355" s="186"/>
      <c r="I355" s="186"/>
      <c r="J355" s="186"/>
      <c r="K355" s="185"/>
      <c r="L355" s="185"/>
      <c r="M355" s="185"/>
      <c r="N355" s="185"/>
      <c r="O355" s="185"/>
      <c r="P355" s="185"/>
      <c r="Q355" s="185"/>
      <c r="R355" s="185"/>
    </row>
    <row r="356" spans="1:18">
      <c r="A356" s="185"/>
      <c r="B356" s="661"/>
      <c r="C356" s="185"/>
      <c r="D356" s="186"/>
      <c r="E356" s="186"/>
      <c r="F356" s="186"/>
      <c r="G356" s="186"/>
      <c r="H356" s="186"/>
      <c r="I356" s="186"/>
      <c r="J356" s="186"/>
      <c r="K356" s="185"/>
      <c r="L356" s="185"/>
      <c r="M356" s="185"/>
      <c r="N356" s="185"/>
      <c r="O356" s="185"/>
      <c r="P356" s="185"/>
      <c r="Q356" s="185"/>
      <c r="R356" s="185"/>
    </row>
    <row r="357" spans="1:18">
      <c r="A357" s="185"/>
      <c r="B357" s="661"/>
      <c r="C357" s="185"/>
      <c r="D357" s="186"/>
      <c r="E357" s="186"/>
      <c r="F357" s="186"/>
      <c r="G357" s="186"/>
      <c r="H357" s="186"/>
      <c r="I357" s="186"/>
      <c r="J357" s="186"/>
      <c r="K357" s="185"/>
      <c r="L357" s="185"/>
      <c r="M357" s="185"/>
      <c r="N357" s="185"/>
      <c r="O357" s="185"/>
      <c r="P357" s="185"/>
      <c r="Q357" s="185"/>
      <c r="R357" s="185"/>
    </row>
    <row r="358" spans="1:18">
      <c r="A358" s="185"/>
      <c r="B358" s="661"/>
      <c r="C358" s="185"/>
      <c r="D358" s="186"/>
      <c r="E358" s="186"/>
      <c r="F358" s="186"/>
      <c r="G358" s="186"/>
      <c r="H358" s="186"/>
      <c r="I358" s="186"/>
      <c r="J358" s="186"/>
      <c r="K358" s="185"/>
      <c r="L358" s="185"/>
      <c r="M358" s="185"/>
      <c r="N358" s="185"/>
      <c r="O358" s="185"/>
      <c r="P358" s="185"/>
      <c r="Q358" s="185"/>
      <c r="R358" s="185"/>
    </row>
    <row r="359" spans="1:18">
      <c r="A359" s="185"/>
      <c r="B359" s="661"/>
      <c r="C359" s="185"/>
      <c r="D359" s="186"/>
      <c r="E359" s="186"/>
      <c r="F359" s="186"/>
      <c r="G359" s="186"/>
      <c r="H359" s="186"/>
      <c r="I359" s="186"/>
      <c r="J359" s="186"/>
      <c r="K359" s="185"/>
      <c r="L359" s="185"/>
      <c r="M359" s="185"/>
      <c r="N359" s="185"/>
      <c r="O359" s="185"/>
      <c r="P359" s="185"/>
      <c r="Q359" s="185"/>
      <c r="R359" s="185"/>
    </row>
    <row r="360" spans="1:18">
      <c r="A360" s="185"/>
      <c r="B360" s="661"/>
      <c r="C360" s="185"/>
      <c r="D360" s="186"/>
      <c r="E360" s="186"/>
      <c r="F360" s="186"/>
      <c r="G360" s="186"/>
      <c r="H360" s="186"/>
      <c r="I360" s="186"/>
      <c r="J360" s="186"/>
      <c r="K360" s="185"/>
      <c r="L360" s="185"/>
      <c r="M360" s="185"/>
      <c r="N360" s="185"/>
      <c r="O360" s="185"/>
      <c r="P360" s="185"/>
      <c r="Q360" s="185"/>
      <c r="R360" s="185"/>
    </row>
    <row r="361" spans="1:18">
      <c r="A361" s="185"/>
      <c r="B361" s="661"/>
      <c r="C361" s="185"/>
      <c r="D361" s="186"/>
      <c r="E361" s="186"/>
      <c r="F361" s="186"/>
      <c r="G361" s="186"/>
      <c r="H361" s="186"/>
      <c r="I361" s="186"/>
      <c r="J361" s="186"/>
      <c r="K361" s="185"/>
      <c r="L361" s="185"/>
      <c r="M361" s="185"/>
      <c r="N361" s="185"/>
      <c r="O361" s="185"/>
      <c r="P361" s="185"/>
      <c r="Q361" s="185"/>
      <c r="R361" s="185"/>
    </row>
    <row r="362" spans="1:18">
      <c r="A362" s="185"/>
      <c r="B362" s="661"/>
      <c r="C362" s="185"/>
      <c r="D362" s="186"/>
      <c r="E362" s="186"/>
      <c r="F362" s="186"/>
      <c r="G362" s="186"/>
      <c r="H362" s="186"/>
      <c r="I362" s="186"/>
      <c r="J362" s="186"/>
      <c r="K362" s="185"/>
      <c r="L362" s="185"/>
      <c r="M362" s="185"/>
      <c r="N362" s="185"/>
      <c r="O362" s="185"/>
      <c r="P362" s="185"/>
      <c r="Q362" s="185"/>
      <c r="R362" s="185"/>
    </row>
    <row r="363" spans="1:18">
      <c r="A363" s="185"/>
      <c r="B363" s="661"/>
      <c r="C363" s="185"/>
      <c r="D363" s="186"/>
      <c r="E363" s="186"/>
      <c r="F363" s="186"/>
      <c r="G363" s="186"/>
      <c r="H363" s="186"/>
      <c r="I363" s="186"/>
      <c r="J363" s="186"/>
      <c r="K363" s="185"/>
      <c r="L363" s="185"/>
      <c r="M363" s="185"/>
      <c r="N363" s="185"/>
      <c r="O363" s="185"/>
      <c r="P363" s="185"/>
      <c r="Q363" s="185"/>
      <c r="R363" s="185"/>
    </row>
    <row r="364" spans="1:18">
      <c r="A364" s="185"/>
      <c r="B364" s="661"/>
      <c r="C364" s="185"/>
      <c r="D364" s="186"/>
      <c r="E364" s="186"/>
      <c r="F364" s="186"/>
      <c r="G364" s="186"/>
      <c r="H364" s="186"/>
      <c r="I364" s="186"/>
      <c r="J364" s="186"/>
      <c r="K364" s="185"/>
      <c r="L364" s="185"/>
      <c r="M364" s="185"/>
      <c r="N364" s="185"/>
      <c r="O364" s="185"/>
      <c r="P364" s="185"/>
      <c r="Q364" s="185"/>
      <c r="R364" s="185"/>
    </row>
    <row r="365" spans="1:18">
      <c r="A365" s="185"/>
      <c r="B365" s="661"/>
      <c r="C365" s="185"/>
      <c r="D365" s="186"/>
      <c r="E365" s="186"/>
      <c r="F365" s="186"/>
      <c r="G365" s="186"/>
      <c r="H365" s="186"/>
      <c r="I365" s="186"/>
      <c r="J365" s="186"/>
      <c r="K365" s="185"/>
      <c r="L365" s="185"/>
      <c r="M365" s="185"/>
      <c r="N365" s="185"/>
      <c r="O365" s="185"/>
      <c r="P365" s="185"/>
      <c r="Q365" s="185"/>
      <c r="R365" s="185"/>
    </row>
    <row r="366" spans="1:18">
      <c r="A366" s="185"/>
      <c r="B366" s="661"/>
      <c r="C366" s="185"/>
      <c r="D366" s="186"/>
      <c r="E366" s="186"/>
      <c r="F366" s="186"/>
      <c r="G366" s="186"/>
      <c r="H366" s="186"/>
      <c r="I366" s="186"/>
      <c r="J366" s="186"/>
      <c r="K366" s="185"/>
      <c r="L366" s="185"/>
      <c r="M366" s="185"/>
      <c r="N366" s="185"/>
      <c r="O366" s="185"/>
      <c r="P366" s="185"/>
      <c r="Q366" s="185"/>
      <c r="R366" s="185"/>
    </row>
    <row r="367" spans="1:18">
      <c r="A367" s="185"/>
      <c r="B367" s="661"/>
      <c r="C367" s="185"/>
      <c r="D367" s="186"/>
      <c r="E367" s="186"/>
      <c r="F367" s="186"/>
      <c r="G367" s="186"/>
      <c r="H367" s="186"/>
      <c r="I367" s="186"/>
      <c r="J367" s="186"/>
      <c r="K367" s="185"/>
      <c r="L367" s="185"/>
      <c r="M367" s="185"/>
      <c r="N367" s="185"/>
      <c r="O367" s="185"/>
      <c r="P367" s="185"/>
      <c r="Q367" s="185"/>
      <c r="R367" s="185"/>
    </row>
    <row r="368" spans="1:18">
      <c r="A368" s="185"/>
      <c r="B368" s="661"/>
      <c r="C368" s="185"/>
      <c r="D368" s="186"/>
      <c r="E368" s="186"/>
      <c r="F368" s="186"/>
      <c r="G368" s="186"/>
      <c r="H368" s="186"/>
      <c r="I368" s="186"/>
      <c r="J368" s="186"/>
      <c r="K368" s="185"/>
      <c r="L368" s="185"/>
      <c r="M368" s="185"/>
      <c r="N368" s="185"/>
      <c r="O368" s="185"/>
      <c r="P368" s="185"/>
      <c r="Q368" s="185"/>
      <c r="R368" s="185"/>
    </row>
    <row r="369" spans="1:18">
      <c r="A369" s="185"/>
      <c r="B369" s="661"/>
      <c r="C369" s="185"/>
      <c r="D369" s="186"/>
      <c r="E369" s="186"/>
      <c r="F369" s="186"/>
      <c r="G369" s="186"/>
      <c r="H369" s="186"/>
      <c r="I369" s="186"/>
      <c r="J369" s="186"/>
      <c r="K369" s="185"/>
      <c r="L369" s="185"/>
      <c r="M369" s="185"/>
      <c r="N369" s="185"/>
      <c r="O369" s="185"/>
      <c r="P369" s="185"/>
      <c r="Q369" s="185"/>
      <c r="R369" s="185"/>
    </row>
    <row r="370" spans="1:18">
      <c r="A370" s="185"/>
      <c r="B370" s="661"/>
      <c r="C370" s="185"/>
      <c r="D370" s="186"/>
      <c r="E370" s="186"/>
      <c r="F370" s="186"/>
      <c r="G370" s="186"/>
      <c r="H370" s="186"/>
      <c r="I370" s="186"/>
      <c r="J370" s="186"/>
      <c r="K370" s="185"/>
      <c r="L370" s="185"/>
      <c r="M370" s="185"/>
      <c r="N370" s="185"/>
      <c r="O370" s="185"/>
      <c r="P370" s="185"/>
      <c r="Q370" s="185"/>
      <c r="R370" s="185"/>
    </row>
    <row r="371" spans="1:18">
      <c r="A371" s="185"/>
      <c r="B371" s="661"/>
      <c r="C371" s="185"/>
      <c r="D371" s="186"/>
      <c r="E371" s="186"/>
      <c r="F371" s="186"/>
      <c r="G371" s="186"/>
      <c r="H371" s="186"/>
      <c r="I371" s="186"/>
      <c r="J371" s="186"/>
      <c r="K371" s="185"/>
      <c r="L371" s="185"/>
      <c r="M371" s="185"/>
      <c r="N371" s="185"/>
      <c r="O371" s="185"/>
      <c r="P371" s="185"/>
      <c r="Q371" s="185"/>
      <c r="R371" s="185"/>
    </row>
    <row r="372" spans="1:18">
      <c r="A372" s="185"/>
      <c r="B372" s="661"/>
      <c r="C372" s="185"/>
      <c r="D372" s="186"/>
      <c r="E372" s="186"/>
      <c r="F372" s="186"/>
      <c r="G372" s="186"/>
      <c r="H372" s="186"/>
      <c r="I372" s="186"/>
      <c r="J372" s="186"/>
      <c r="K372" s="185"/>
      <c r="L372" s="185"/>
      <c r="M372" s="185"/>
      <c r="N372" s="185"/>
      <c r="O372" s="185"/>
      <c r="P372" s="185"/>
      <c r="Q372" s="185"/>
      <c r="R372" s="185"/>
    </row>
    <row r="373" spans="1:18">
      <c r="A373" s="185"/>
      <c r="B373" s="661"/>
      <c r="C373" s="185"/>
      <c r="D373" s="186"/>
      <c r="E373" s="186"/>
      <c r="F373" s="186"/>
      <c r="G373" s="186"/>
      <c r="H373" s="186"/>
      <c r="I373" s="186"/>
      <c r="J373" s="186"/>
      <c r="K373" s="185"/>
      <c r="L373" s="185"/>
      <c r="M373" s="185"/>
      <c r="N373" s="185"/>
      <c r="O373" s="185"/>
      <c r="P373" s="185"/>
      <c r="Q373" s="185"/>
      <c r="R373" s="185"/>
    </row>
    <row r="374" spans="1:18">
      <c r="A374" s="185"/>
      <c r="B374" s="661"/>
      <c r="C374" s="185"/>
      <c r="D374" s="186"/>
      <c r="E374" s="186"/>
      <c r="F374" s="186"/>
      <c r="G374" s="186"/>
      <c r="H374" s="186"/>
      <c r="I374" s="186"/>
      <c r="J374" s="186"/>
      <c r="K374" s="185"/>
      <c r="L374" s="185"/>
      <c r="M374" s="185"/>
      <c r="N374" s="185"/>
      <c r="O374" s="185"/>
      <c r="P374" s="185"/>
      <c r="Q374" s="185"/>
      <c r="R374" s="185"/>
    </row>
    <row r="375" spans="1:18">
      <c r="A375" s="185"/>
      <c r="B375" s="661"/>
      <c r="C375" s="185"/>
      <c r="D375" s="186"/>
      <c r="E375" s="186"/>
      <c r="F375" s="186"/>
      <c r="G375" s="186"/>
      <c r="H375" s="186"/>
      <c r="I375" s="186"/>
      <c r="J375" s="186"/>
      <c r="K375" s="185"/>
      <c r="L375" s="185"/>
      <c r="M375" s="185"/>
      <c r="N375" s="185"/>
      <c r="O375" s="185"/>
      <c r="P375" s="185"/>
      <c r="Q375" s="185"/>
      <c r="R375" s="185"/>
    </row>
    <row r="376" spans="1:18">
      <c r="A376" s="185"/>
      <c r="B376" s="661"/>
      <c r="C376" s="185"/>
      <c r="D376" s="186"/>
      <c r="E376" s="186"/>
      <c r="F376" s="186"/>
      <c r="G376" s="186"/>
      <c r="H376" s="186"/>
      <c r="I376" s="186"/>
      <c r="J376" s="186"/>
      <c r="K376" s="185"/>
      <c r="L376" s="185"/>
      <c r="M376" s="185"/>
      <c r="N376" s="185"/>
      <c r="O376" s="185"/>
      <c r="P376" s="185"/>
      <c r="Q376" s="185"/>
      <c r="R376" s="185"/>
    </row>
    <row r="377" spans="1:18">
      <c r="A377" s="185"/>
      <c r="B377" s="661"/>
      <c r="C377" s="185"/>
      <c r="D377" s="186"/>
      <c r="E377" s="186"/>
      <c r="F377" s="186"/>
      <c r="G377" s="186"/>
      <c r="H377" s="186"/>
      <c r="I377" s="186"/>
      <c r="J377" s="186"/>
      <c r="K377" s="185"/>
      <c r="L377" s="185"/>
      <c r="M377" s="185"/>
      <c r="N377" s="185"/>
      <c r="O377" s="185"/>
      <c r="P377" s="185"/>
      <c r="Q377" s="185"/>
      <c r="R377" s="185"/>
    </row>
    <row r="378" spans="1:18">
      <c r="A378" s="185"/>
      <c r="B378" s="661"/>
      <c r="C378" s="185"/>
      <c r="D378" s="186"/>
      <c r="E378" s="186"/>
      <c r="F378" s="186"/>
      <c r="G378" s="186"/>
      <c r="H378" s="186"/>
      <c r="I378" s="186"/>
      <c r="J378" s="186"/>
      <c r="K378" s="185"/>
      <c r="L378" s="185"/>
      <c r="M378" s="185"/>
      <c r="N378" s="185"/>
      <c r="O378" s="185"/>
      <c r="P378" s="185"/>
      <c r="Q378" s="185"/>
      <c r="R378" s="185"/>
    </row>
    <row r="379" spans="1:18">
      <c r="A379" s="185"/>
      <c r="B379" s="661"/>
      <c r="C379" s="185"/>
      <c r="D379" s="186"/>
      <c r="E379" s="186"/>
      <c r="F379" s="186"/>
      <c r="G379" s="186"/>
      <c r="H379" s="186"/>
      <c r="I379" s="186"/>
      <c r="J379" s="186"/>
      <c r="K379" s="185"/>
      <c r="L379" s="185"/>
      <c r="M379" s="185"/>
      <c r="N379" s="185"/>
      <c r="O379" s="185"/>
      <c r="P379" s="185"/>
      <c r="Q379" s="185"/>
      <c r="R379" s="185"/>
    </row>
    <row r="380" spans="1:18">
      <c r="A380" s="185"/>
      <c r="B380" s="661"/>
      <c r="C380" s="185"/>
      <c r="D380" s="186"/>
      <c r="E380" s="186"/>
      <c r="F380" s="186"/>
      <c r="G380" s="186"/>
      <c r="H380" s="186"/>
      <c r="I380" s="186"/>
      <c r="J380" s="186"/>
      <c r="K380" s="185"/>
      <c r="L380" s="185"/>
      <c r="M380" s="185"/>
      <c r="N380" s="185"/>
      <c r="O380" s="185"/>
      <c r="P380" s="185"/>
      <c r="Q380" s="185"/>
      <c r="R380" s="185"/>
    </row>
    <row r="381" spans="1:18">
      <c r="A381" s="185"/>
      <c r="B381" s="661"/>
      <c r="C381" s="185"/>
      <c r="D381" s="186"/>
      <c r="E381" s="186"/>
      <c r="F381" s="186"/>
      <c r="G381" s="186"/>
      <c r="H381" s="186"/>
      <c r="I381" s="186"/>
      <c r="J381" s="186"/>
      <c r="K381" s="185"/>
      <c r="L381" s="185"/>
      <c r="M381" s="185"/>
      <c r="N381" s="185"/>
      <c r="O381" s="185"/>
      <c r="P381" s="185"/>
      <c r="Q381" s="185"/>
      <c r="R381" s="185"/>
    </row>
    <row r="382" spans="1:18">
      <c r="A382" s="185"/>
      <c r="B382" s="661"/>
      <c r="C382" s="185"/>
      <c r="D382" s="186"/>
      <c r="E382" s="186"/>
      <c r="F382" s="186"/>
      <c r="G382" s="186"/>
      <c r="H382" s="186"/>
      <c r="I382" s="186"/>
      <c r="J382" s="186"/>
      <c r="K382" s="185"/>
      <c r="L382" s="185"/>
      <c r="M382" s="185"/>
      <c r="N382" s="185"/>
      <c r="O382" s="185"/>
      <c r="P382" s="185"/>
      <c r="Q382" s="185"/>
      <c r="R382" s="185"/>
    </row>
    <row r="383" spans="1:18">
      <c r="A383" s="185"/>
      <c r="B383" s="661"/>
      <c r="C383" s="185"/>
      <c r="D383" s="186"/>
      <c r="E383" s="186"/>
      <c r="F383" s="186"/>
      <c r="G383" s="186"/>
      <c r="H383" s="186"/>
      <c r="I383" s="186"/>
      <c r="J383" s="186"/>
      <c r="K383" s="185"/>
      <c r="L383" s="185"/>
      <c r="M383" s="185"/>
      <c r="N383" s="185"/>
      <c r="O383" s="185"/>
      <c r="P383" s="185"/>
      <c r="Q383" s="185"/>
      <c r="R383" s="185"/>
    </row>
    <row r="384" spans="1:18">
      <c r="A384" s="185"/>
      <c r="B384" s="661"/>
      <c r="C384" s="185"/>
      <c r="D384" s="186"/>
      <c r="E384" s="186"/>
      <c r="F384" s="186"/>
      <c r="G384" s="186"/>
      <c r="H384" s="186"/>
      <c r="I384" s="186"/>
      <c r="J384" s="186"/>
      <c r="K384" s="185"/>
      <c r="L384" s="185"/>
      <c r="M384" s="185"/>
      <c r="N384" s="185"/>
      <c r="O384" s="185"/>
      <c r="P384" s="185"/>
      <c r="Q384" s="185"/>
      <c r="R384" s="185"/>
    </row>
    <row r="385" spans="1:18">
      <c r="A385" s="185"/>
      <c r="B385" s="661"/>
      <c r="C385" s="185"/>
      <c r="D385" s="186"/>
      <c r="E385" s="186"/>
      <c r="F385" s="186"/>
      <c r="G385" s="186"/>
      <c r="H385" s="186"/>
      <c r="I385" s="186"/>
      <c r="J385" s="186"/>
      <c r="K385" s="185"/>
      <c r="L385" s="185"/>
      <c r="M385" s="185"/>
      <c r="N385" s="185"/>
      <c r="O385" s="185"/>
      <c r="P385" s="185"/>
      <c r="Q385" s="185"/>
      <c r="R385" s="185"/>
    </row>
    <row r="386" spans="1:18">
      <c r="A386" s="185"/>
      <c r="B386" s="661"/>
      <c r="C386" s="185"/>
      <c r="D386" s="186"/>
      <c r="E386" s="186"/>
      <c r="F386" s="186"/>
      <c r="G386" s="186"/>
      <c r="H386" s="186"/>
      <c r="I386" s="186"/>
      <c r="J386" s="186"/>
      <c r="K386" s="185"/>
      <c r="L386" s="185"/>
      <c r="M386" s="185"/>
      <c r="N386" s="185"/>
      <c r="O386" s="185"/>
      <c r="P386" s="185"/>
      <c r="Q386" s="185"/>
      <c r="R386" s="185"/>
    </row>
    <row r="387" spans="1:18">
      <c r="A387" s="185"/>
      <c r="B387" s="661"/>
      <c r="C387" s="185"/>
      <c r="D387" s="186"/>
      <c r="E387" s="186"/>
      <c r="F387" s="186"/>
      <c r="G387" s="186"/>
      <c r="H387" s="186"/>
      <c r="I387" s="186"/>
      <c r="J387" s="186"/>
      <c r="K387" s="185"/>
      <c r="L387" s="185"/>
      <c r="M387" s="185"/>
      <c r="N387" s="185"/>
      <c r="O387" s="185"/>
      <c r="P387" s="185"/>
      <c r="Q387" s="185"/>
      <c r="R387" s="185"/>
    </row>
    <row r="388" spans="1:18">
      <c r="A388" s="185"/>
      <c r="B388" s="661"/>
      <c r="C388" s="185"/>
      <c r="D388" s="186"/>
      <c r="E388" s="186"/>
      <c r="F388" s="186"/>
      <c r="G388" s="186"/>
      <c r="H388" s="186"/>
      <c r="I388" s="186"/>
      <c r="J388" s="186"/>
      <c r="K388" s="185"/>
      <c r="L388" s="185"/>
      <c r="M388" s="185"/>
      <c r="N388" s="185"/>
      <c r="O388" s="185"/>
      <c r="P388" s="185"/>
      <c r="Q388" s="185"/>
      <c r="R388" s="185"/>
    </row>
    <row r="389" spans="1:18">
      <c r="A389" s="185"/>
      <c r="B389" s="661"/>
      <c r="C389" s="185"/>
      <c r="D389" s="186"/>
      <c r="E389" s="186"/>
      <c r="F389" s="186"/>
      <c r="G389" s="186"/>
      <c r="H389" s="186"/>
      <c r="I389" s="186"/>
      <c r="J389" s="186"/>
      <c r="K389" s="185"/>
      <c r="L389" s="185"/>
      <c r="M389" s="185"/>
      <c r="N389" s="185"/>
      <c r="O389" s="185"/>
      <c r="P389" s="185"/>
      <c r="Q389" s="185"/>
      <c r="R389" s="185"/>
    </row>
    <row r="390" spans="1:18">
      <c r="A390" s="185"/>
      <c r="B390" s="661"/>
      <c r="C390" s="185"/>
      <c r="D390" s="186"/>
      <c r="E390" s="186"/>
      <c r="F390" s="186"/>
      <c r="G390" s="186"/>
      <c r="H390" s="186"/>
      <c r="I390" s="186"/>
      <c r="J390" s="186"/>
      <c r="K390" s="185"/>
      <c r="L390" s="185"/>
      <c r="M390" s="185"/>
      <c r="N390" s="185"/>
      <c r="O390" s="185"/>
      <c r="P390" s="185"/>
      <c r="Q390" s="185"/>
      <c r="R390" s="185"/>
    </row>
    <row r="391" spans="1:18">
      <c r="A391" s="185"/>
      <c r="B391" s="661"/>
      <c r="C391" s="185"/>
      <c r="D391" s="186"/>
      <c r="E391" s="186"/>
      <c r="F391" s="186"/>
      <c r="G391" s="186"/>
      <c r="H391" s="186"/>
      <c r="I391" s="186"/>
      <c r="J391" s="186"/>
      <c r="K391" s="185"/>
      <c r="L391" s="185"/>
      <c r="M391" s="185"/>
      <c r="N391" s="185"/>
      <c r="O391" s="185"/>
      <c r="P391" s="185"/>
      <c r="Q391" s="185"/>
      <c r="R391" s="185"/>
    </row>
    <row r="392" spans="1:18">
      <c r="A392" s="185"/>
      <c r="B392" s="661"/>
      <c r="C392" s="185"/>
      <c r="D392" s="186"/>
      <c r="E392" s="186"/>
      <c r="F392" s="186"/>
      <c r="G392" s="186"/>
      <c r="H392" s="186"/>
      <c r="I392" s="186"/>
      <c r="J392" s="186"/>
      <c r="K392" s="185"/>
      <c r="L392" s="185"/>
      <c r="M392" s="185"/>
      <c r="N392" s="185"/>
      <c r="O392" s="185"/>
      <c r="P392" s="185"/>
      <c r="Q392" s="185"/>
      <c r="R392" s="185"/>
    </row>
    <row r="393" spans="1:18">
      <c r="A393" s="185"/>
      <c r="B393" s="661"/>
      <c r="C393" s="185"/>
      <c r="D393" s="186"/>
      <c r="E393" s="186"/>
      <c r="F393" s="186"/>
      <c r="G393" s="186"/>
      <c r="H393" s="186"/>
      <c r="I393" s="186"/>
      <c r="J393" s="186"/>
      <c r="K393" s="185"/>
      <c r="L393" s="185"/>
      <c r="M393" s="185"/>
      <c r="N393" s="185"/>
      <c r="O393" s="185"/>
      <c r="P393" s="185"/>
      <c r="Q393" s="185"/>
      <c r="R393" s="185"/>
    </row>
    <row r="394" spans="1:18">
      <c r="A394" s="185"/>
      <c r="B394" s="661"/>
      <c r="C394" s="185"/>
      <c r="D394" s="186"/>
      <c r="E394" s="186"/>
      <c r="F394" s="186"/>
      <c r="G394" s="186"/>
      <c r="H394" s="186"/>
      <c r="I394" s="186"/>
      <c r="J394" s="186"/>
      <c r="K394" s="185"/>
      <c r="L394" s="185"/>
      <c r="M394" s="185"/>
      <c r="N394" s="185"/>
      <c r="O394" s="185"/>
      <c r="P394" s="185"/>
      <c r="Q394" s="185"/>
      <c r="R394" s="185"/>
    </row>
    <row r="395" spans="1:18">
      <c r="A395" s="185"/>
      <c r="B395" s="661"/>
      <c r="C395" s="185"/>
      <c r="D395" s="186"/>
      <c r="E395" s="186"/>
      <c r="F395" s="186"/>
      <c r="G395" s="186"/>
      <c r="H395" s="186"/>
      <c r="I395" s="186"/>
      <c r="J395" s="186"/>
      <c r="K395" s="185"/>
      <c r="L395" s="185"/>
      <c r="M395" s="185"/>
      <c r="N395" s="185"/>
      <c r="O395" s="185"/>
      <c r="P395" s="185"/>
      <c r="Q395" s="185"/>
      <c r="R395" s="185"/>
    </row>
    <row r="396" spans="1:18">
      <c r="A396" s="185"/>
      <c r="B396" s="661"/>
      <c r="C396" s="185"/>
      <c r="D396" s="186"/>
      <c r="E396" s="186"/>
      <c r="F396" s="186"/>
      <c r="G396" s="186"/>
      <c r="H396" s="186"/>
      <c r="I396" s="186"/>
      <c r="J396" s="186"/>
      <c r="K396" s="185"/>
      <c r="L396" s="185"/>
      <c r="M396" s="185"/>
      <c r="N396" s="185"/>
      <c r="O396" s="185"/>
      <c r="P396" s="185"/>
      <c r="Q396" s="185"/>
      <c r="R396" s="185"/>
    </row>
    <row r="397" spans="1:18">
      <c r="A397" s="185"/>
      <c r="B397" s="661"/>
      <c r="C397" s="185"/>
      <c r="D397" s="186"/>
      <c r="E397" s="186"/>
      <c r="F397" s="186"/>
      <c r="G397" s="186"/>
      <c r="H397" s="186"/>
      <c r="I397" s="186"/>
      <c r="J397" s="186"/>
      <c r="K397" s="185"/>
      <c r="L397" s="185"/>
      <c r="M397" s="185"/>
      <c r="N397" s="185"/>
      <c r="O397" s="185"/>
      <c r="P397" s="185"/>
      <c r="Q397" s="185"/>
      <c r="R397" s="185"/>
    </row>
    <row r="398" spans="1:18">
      <c r="A398" s="185"/>
      <c r="B398" s="661"/>
      <c r="C398" s="185"/>
      <c r="D398" s="186"/>
      <c r="E398" s="186"/>
      <c r="F398" s="186"/>
      <c r="G398" s="186"/>
      <c r="H398" s="186"/>
      <c r="I398" s="186"/>
      <c r="J398" s="186"/>
      <c r="K398" s="185"/>
      <c r="L398" s="185"/>
      <c r="M398" s="185"/>
      <c r="N398" s="185"/>
      <c r="O398" s="185"/>
      <c r="P398" s="185"/>
      <c r="Q398" s="185"/>
      <c r="R398" s="185"/>
    </row>
    <row r="399" spans="1:18">
      <c r="A399" s="185"/>
      <c r="B399" s="661"/>
      <c r="C399" s="185"/>
      <c r="D399" s="186"/>
      <c r="E399" s="186"/>
      <c r="F399" s="186"/>
      <c r="G399" s="186"/>
      <c r="H399" s="186"/>
      <c r="I399" s="186"/>
      <c r="J399" s="186"/>
      <c r="K399" s="185"/>
      <c r="L399" s="185"/>
      <c r="M399" s="185"/>
      <c r="N399" s="185"/>
      <c r="O399" s="185"/>
      <c r="P399" s="185"/>
      <c r="Q399" s="185"/>
      <c r="R399" s="185"/>
    </row>
    <row r="400" spans="1:18">
      <c r="A400" s="185"/>
      <c r="B400" s="661"/>
      <c r="C400" s="185"/>
      <c r="D400" s="186"/>
      <c r="E400" s="186"/>
      <c r="F400" s="186"/>
      <c r="G400" s="186"/>
      <c r="H400" s="186"/>
      <c r="I400" s="186"/>
      <c r="J400" s="186"/>
      <c r="K400" s="185"/>
      <c r="L400" s="185"/>
      <c r="M400" s="185"/>
      <c r="N400" s="185"/>
      <c r="O400" s="185"/>
      <c r="P400" s="185"/>
      <c r="Q400" s="185"/>
      <c r="R400" s="185"/>
    </row>
    <row r="401" spans="1:18">
      <c r="A401" s="185"/>
      <c r="B401" s="661"/>
      <c r="C401" s="185"/>
      <c r="D401" s="186"/>
      <c r="E401" s="186"/>
      <c r="F401" s="186"/>
      <c r="G401" s="186"/>
      <c r="H401" s="186"/>
      <c r="I401" s="186"/>
      <c r="J401" s="186"/>
      <c r="K401" s="185"/>
      <c r="L401" s="185"/>
      <c r="M401" s="185"/>
      <c r="N401" s="185"/>
      <c r="O401" s="185"/>
      <c r="P401" s="185"/>
      <c r="Q401" s="185"/>
      <c r="R401" s="185"/>
    </row>
    <row r="402" spans="1:18">
      <c r="A402" s="185"/>
      <c r="B402" s="661"/>
      <c r="C402" s="185"/>
      <c r="D402" s="186"/>
      <c r="E402" s="186"/>
      <c r="F402" s="186"/>
      <c r="G402" s="186"/>
      <c r="H402" s="186"/>
      <c r="I402" s="186"/>
      <c r="J402" s="186"/>
      <c r="K402" s="185"/>
      <c r="L402" s="185"/>
      <c r="M402" s="185"/>
      <c r="N402" s="185"/>
      <c r="O402" s="185"/>
      <c r="P402" s="185"/>
      <c r="Q402" s="185"/>
      <c r="R402" s="185"/>
    </row>
    <row r="403" spans="1:18">
      <c r="A403" s="185"/>
      <c r="B403" s="661"/>
      <c r="C403" s="185"/>
      <c r="D403" s="186"/>
      <c r="E403" s="186"/>
      <c r="F403" s="186"/>
      <c r="G403" s="186"/>
      <c r="H403" s="186"/>
      <c r="I403" s="186"/>
      <c r="J403" s="186"/>
      <c r="K403" s="185"/>
      <c r="L403" s="185"/>
      <c r="M403" s="185"/>
      <c r="N403" s="185"/>
      <c r="O403" s="185"/>
      <c r="P403" s="185"/>
      <c r="Q403" s="185"/>
      <c r="R403" s="185"/>
    </row>
    <row r="404" spans="1:18">
      <c r="A404" s="185"/>
      <c r="B404" s="661"/>
      <c r="C404" s="185"/>
      <c r="D404" s="186"/>
      <c r="E404" s="186"/>
      <c r="F404" s="186"/>
      <c r="G404" s="186"/>
      <c r="H404" s="186"/>
      <c r="I404" s="186"/>
      <c r="J404" s="186"/>
      <c r="K404" s="185"/>
      <c r="L404" s="185"/>
      <c r="M404" s="185"/>
      <c r="N404" s="185"/>
      <c r="O404" s="185"/>
      <c r="P404" s="185"/>
      <c r="Q404" s="185"/>
      <c r="R404" s="185"/>
    </row>
    <row r="405" spans="1:18">
      <c r="A405" s="185"/>
      <c r="B405" s="661"/>
      <c r="C405" s="185"/>
      <c r="D405" s="186"/>
      <c r="E405" s="186"/>
      <c r="F405" s="186"/>
      <c r="G405" s="186"/>
      <c r="H405" s="186"/>
      <c r="I405" s="186"/>
      <c r="J405" s="186"/>
      <c r="K405" s="185"/>
      <c r="L405" s="185"/>
      <c r="M405" s="185"/>
      <c r="N405" s="185"/>
      <c r="O405" s="185"/>
      <c r="P405" s="185"/>
      <c r="Q405" s="185"/>
      <c r="R405" s="185"/>
    </row>
    <row r="406" spans="1:18">
      <c r="A406" s="185"/>
      <c r="B406" s="661"/>
      <c r="C406" s="185"/>
      <c r="D406" s="186"/>
      <c r="E406" s="186"/>
      <c r="F406" s="186"/>
      <c r="G406" s="186"/>
      <c r="H406" s="186"/>
      <c r="I406" s="186"/>
      <c r="J406" s="186"/>
      <c r="K406" s="185"/>
      <c r="L406" s="185"/>
      <c r="M406" s="185"/>
      <c r="N406" s="185"/>
      <c r="O406" s="185"/>
      <c r="P406" s="185"/>
      <c r="Q406" s="185"/>
      <c r="R406" s="185"/>
    </row>
    <row r="407" spans="1:18">
      <c r="A407" s="185"/>
      <c r="B407" s="661"/>
      <c r="C407" s="185"/>
      <c r="D407" s="186"/>
      <c r="E407" s="186"/>
      <c r="F407" s="186"/>
      <c r="G407" s="186"/>
      <c r="H407" s="186"/>
      <c r="I407" s="186"/>
      <c r="J407" s="186"/>
      <c r="K407" s="185"/>
      <c r="L407" s="185"/>
      <c r="M407" s="185"/>
      <c r="N407" s="185"/>
      <c r="O407" s="185"/>
      <c r="P407" s="185"/>
      <c r="Q407" s="185"/>
      <c r="R407" s="185"/>
    </row>
    <row r="408" spans="1:18">
      <c r="A408" s="185"/>
      <c r="B408" s="661"/>
      <c r="C408" s="185"/>
      <c r="D408" s="186"/>
      <c r="E408" s="186"/>
      <c r="F408" s="186"/>
      <c r="G408" s="186"/>
      <c r="H408" s="186"/>
      <c r="I408" s="186"/>
      <c r="J408" s="186"/>
      <c r="K408" s="185"/>
      <c r="L408" s="185"/>
      <c r="M408" s="185"/>
      <c r="N408" s="185"/>
      <c r="O408" s="185"/>
      <c r="P408" s="185"/>
      <c r="Q408" s="185"/>
      <c r="R408" s="185"/>
    </row>
    <row r="409" spans="1:18">
      <c r="A409" s="185"/>
      <c r="B409" s="661"/>
      <c r="C409" s="185"/>
      <c r="D409" s="186"/>
      <c r="E409" s="186"/>
      <c r="F409" s="186"/>
      <c r="G409" s="186"/>
      <c r="H409" s="186"/>
      <c r="I409" s="186"/>
      <c r="J409" s="186"/>
      <c r="K409" s="185"/>
      <c r="L409" s="185"/>
      <c r="M409" s="185"/>
      <c r="N409" s="185"/>
      <c r="O409" s="185"/>
      <c r="P409" s="185"/>
      <c r="Q409" s="185"/>
      <c r="R409" s="185"/>
    </row>
    <row r="410" spans="1:18">
      <c r="A410" s="185"/>
      <c r="B410" s="661"/>
      <c r="C410" s="185"/>
      <c r="D410" s="186"/>
      <c r="E410" s="186"/>
      <c r="F410" s="186"/>
      <c r="G410" s="186"/>
      <c r="H410" s="186"/>
      <c r="I410" s="186"/>
      <c r="J410" s="186"/>
      <c r="K410" s="185"/>
      <c r="L410" s="185"/>
      <c r="M410" s="185"/>
      <c r="N410" s="185"/>
      <c r="O410" s="185"/>
      <c r="P410" s="185"/>
      <c r="Q410" s="185"/>
      <c r="R410" s="185"/>
    </row>
    <row r="411" spans="1:18">
      <c r="A411" s="185"/>
      <c r="B411" s="661"/>
      <c r="C411" s="185"/>
      <c r="D411" s="186"/>
      <c r="E411" s="186"/>
      <c r="F411" s="186"/>
      <c r="G411" s="186"/>
      <c r="H411" s="186"/>
      <c r="I411" s="186"/>
      <c r="J411" s="186"/>
      <c r="K411" s="185"/>
      <c r="L411" s="185"/>
      <c r="M411" s="185"/>
      <c r="N411" s="185"/>
      <c r="O411" s="185"/>
      <c r="P411" s="185"/>
      <c r="Q411" s="185"/>
      <c r="R411" s="185"/>
    </row>
    <row r="412" spans="1:18">
      <c r="A412" s="185"/>
      <c r="B412" s="661"/>
      <c r="C412" s="185"/>
      <c r="D412" s="186"/>
      <c r="E412" s="186"/>
      <c r="F412" s="186"/>
      <c r="G412" s="186"/>
      <c r="H412" s="186"/>
      <c r="I412" s="186"/>
      <c r="J412" s="186"/>
      <c r="K412" s="185"/>
      <c r="L412" s="185"/>
      <c r="M412" s="185"/>
      <c r="N412" s="185"/>
      <c r="O412" s="185"/>
      <c r="P412" s="185"/>
      <c r="Q412" s="185"/>
      <c r="R412" s="185"/>
    </row>
    <row r="413" spans="1:18">
      <c r="A413" s="185"/>
      <c r="B413" s="661"/>
      <c r="C413" s="185"/>
      <c r="D413" s="186"/>
      <c r="E413" s="186"/>
      <c r="F413" s="186"/>
      <c r="G413" s="186"/>
      <c r="H413" s="186"/>
      <c r="I413" s="186"/>
      <c r="J413" s="186"/>
      <c r="K413" s="185"/>
      <c r="L413" s="185"/>
      <c r="M413" s="185"/>
      <c r="N413" s="185"/>
      <c r="O413" s="185"/>
      <c r="P413" s="185"/>
      <c r="Q413" s="185"/>
      <c r="R413" s="185"/>
    </row>
    <row r="414" spans="1:18">
      <c r="A414" s="185"/>
      <c r="B414" s="661"/>
      <c r="C414" s="185"/>
      <c r="D414" s="186"/>
      <c r="E414" s="186"/>
      <c r="F414" s="186"/>
      <c r="G414" s="186"/>
      <c r="H414" s="186"/>
      <c r="I414" s="186"/>
      <c r="J414" s="186"/>
      <c r="K414" s="185"/>
      <c r="L414" s="185"/>
      <c r="M414" s="185"/>
      <c r="N414" s="185"/>
      <c r="O414" s="185"/>
      <c r="P414" s="185"/>
      <c r="Q414" s="185"/>
      <c r="R414" s="185"/>
    </row>
    <row r="415" spans="1:18">
      <c r="A415" s="185"/>
      <c r="B415" s="661"/>
      <c r="C415" s="185"/>
      <c r="D415" s="186"/>
      <c r="E415" s="186"/>
      <c r="F415" s="186"/>
      <c r="G415" s="186"/>
      <c r="H415" s="186"/>
      <c r="I415" s="186"/>
      <c r="J415" s="186"/>
      <c r="K415" s="185"/>
      <c r="L415" s="185"/>
      <c r="M415" s="185"/>
      <c r="N415" s="185"/>
      <c r="O415" s="185"/>
      <c r="P415" s="185"/>
      <c r="Q415" s="185"/>
      <c r="R415" s="185"/>
    </row>
    <row r="416" spans="1:18">
      <c r="A416" s="185"/>
      <c r="B416" s="661"/>
      <c r="C416" s="185"/>
      <c r="D416" s="186"/>
      <c r="E416" s="186"/>
      <c r="F416" s="186"/>
      <c r="G416" s="186"/>
      <c r="H416" s="186"/>
      <c r="I416" s="186"/>
      <c r="J416" s="186"/>
      <c r="K416" s="185"/>
      <c r="L416" s="185"/>
      <c r="M416" s="185"/>
      <c r="N416" s="185"/>
      <c r="O416" s="185"/>
      <c r="P416" s="185"/>
      <c r="Q416" s="185"/>
      <c r="R416" s="185"/>
    </row>
    <row r="417" spans="1:18">
      <c r="A417" s="185"/>
      <c r="B417" s="661"/>
      <c r="C417" s="185"/>
      <c r="D417" s="186"/>
      <c r="E417" s="186"/>
      <c r="F417" s="186"/>
      <c r="G417" s="186"/>
      <c r="H417" s="186"/>
      <c r="I417" s="186"/>
      <c r="J417" s="186"/>
      <c r="K417" s="185"/>
      <c r="L417" s="185"/>
      <c r="M417" s="185"/>
      <c r="N417" s="185"/>
      <c r="O417" s="185"/>
      <c r="P417" s="185"/>
      <c r="Q417" s="185"/>
      <c r="R417" s="185"/>
    </row>
    <row r="418" spans="1:18">
      <c r="A418" s="185"/>
      <c r="B418" s="661"/>
      <c r="C418" s="185"/>
      <c r="D418" s="186"/>
      <c r="E418" s="186"/>
      <c r="F418" s="186"/>
      <c r="G418" s="186"/>
      <c r="H418" s="186"/>
      <c r="I418" s="186"/>
      <c r="J418" s="186"/>
      <c r="K418" s="185"/>
      <c r="L418" s="185"/>
      <c r="M418" s="185"/>
      <c r="N418" s="185"/>
      <c r="O418" s="185"/>
      <c r="P418" s="185"/>
      <c r="Q418" s="185"/>
      <c r="R418" s="185"/>
    </row>
    <row r="419" spans="1:18">
      <c r="A419" s="185"/>
      <c r="B419" s="661"/>
      <c r="C419" s="185"/>
      <c r="D419" s="186"/>
      <c r="E419" s="186"/>
      <c r="F419" s="186"/>
      <c r="G419" s="186"/>
      <c r="H419" s="186"/>
      <c r="I419" s="186"/>
      <c r="J419" s="186"/>
      <c r="K419" s="185"/>
      <c r="L419" s="185"/>
      <c r="M419" s="185"/>
      <c r="N419" s="185"/>
      <c r="O419" s="185"/>
      <c r="P419" s="185"/>
      <c r="Q419" s="185"/>
      <c r="R419" s="185"/>
    </row>
    <row r="420" spans="1:18">
      <c r="A420" s="185"/>
      <c r="B420" s="661"/>
      <c r="C420" s="185"/>
      <c r="D420" s="186"/>
      <c r="E420" s="186"/>
      <c r="F420" s="186"/>
      <c r="G420" s="186"/>
      <c r="H420" s="186"/>
      <c r="I420" s="186"/>
      <c r="J420" s="186"/>
      <c r="K420" s="185"/>
      <c r="L420" s="185"/>
      <c r="M420" s="185"/>
      <c r="N420" s="185"/>
      <c r="O420" s="185"/>
      <c r="P420" s="185"/>
      <c r="Q420" s="185"/>
      <c r="R420" s="185"/>
    </row>
    <row r="421" spans="1:18">
      <c r="A421" s="185"/>
      <c r="B421" s="661"/>
      <c r="C421" s="185"/>
      <c r="D421" s="186"/>
      <c r="E421" s="186"/>
      <c r="F421" s="186"/>
      <c r="G421" s="186"/>
      <c r="H421" s="186"/>
      <c r="I421" s="186"/>
      <c r="J421" s="186"/>
      <c r="K421" s="185"/>
      <c r="L421" s="185"/>
      <c r="M421" s="185"/>
      <c r="N421" s="185"/>
      <c r="O421" s="185"/>
      <c r="P421" s="185"/>
      <c r="Q421" s="185"/>
      <c r="R421" s="185"/>
    </row>
    <row r="422" spans="1:18">
      <c r="A422" s="185"/>
      <c r="B422" s="661"/>
      <c r="C422" s="185"/>
      <c r="D422" s="186"/>
      <c r="E422" s="186"/>
      <c r="F422" s="186"/>
      <c r="G422" s="186"/>
      <c r="H422" s="186"/>
      <c r="I422" s="186"/>
      <c r="J422" s="186"/>
      <c r="K422" s="185"/>
      <c r="L422" s="185"/>
      <c r="M422" s="185"/>
      <c r="N422" s="185"/>
      <c r="O422" s="185"/>
      <c r="P422" s="185"/>
      <c r="Q422" s="185"/>
      <c r="R422" s="185"/>
    </row>
    <row r="423" spans="1:18">
      <c r="A423" s="185"/>
      <c r="B423" s="661"/>
      <c r="C423" s="185"/>
      <c r="D423" s="186"/>
      <c r="E423" s="186"/>
      <c r="F423" s="186"/>
      <c r="G423" s="186"/>
      <c r="H423" s="186"/>
      <c r="I423" s="186"/>
      <c r="J423" s="186"/>
      <c r="K423" s="185"/>
      <c r="L423" s="185"/>
      <c r="M423" s="185"/>
      <c r="N423" s="185"/>
      <c r="O423" s="185"/>
      <c r="P423" s="185"/>
      <c r="Q423" s="185"/>
      <c r="R423" s="185"/>
    </row>
    <row r="424" spans="1:18">
      <c r="A424" s="185"/>
      <c r="B424" s="661"/>
      <c r="C424" s="185"/>
      <c r="D424" s="186"/>
      <c r="E424" s="186"/>
      <c r="F424" s="186"/>
      <c r="G424" s="186"/>
      <c r="H424" s="186"/>
      <c r="I424" s="186"/>
      <c r="J424" s="186"/>
      <c r="K424" s="185"/>
      <c r="L424" s="185"/>
      <c r="M424" s="185"/>
      <c r="N424" s="185"/>
      <c r="O424" s="185"/>
      <c r="P424" s="185"/>
      <c r="Q424" s="185"/>
      <c r="R424" s="185"/>
    </row>
    <row r="425" spans="1:18">
      <c r="A425" s="185"/>
      <c r="B425" s="661"/>
      <c r="C425" s="185"/>
      <c r="D425" s="186"/>
      <c r="E425" s="186"/>
      <c r="F425" s="186"/>
      <c r="G425" s="186"/>
      <c r="H425" s="186"/>
      <c r="I425" s="186"/>
      <c r="J425" s="186"/>
      <c r="K425" s="185"/>
      <c r="L425" s="185"/>
      <c r="M425" s="185"/>
      <c r="N425" s="185"/>
      <c r="O425" s="185"/>
      <c r="P425" s="185"/>
      <c r="Q425" s="185"/>
      <c r="R425" s="185"/>
    </row>
    <row r="426" spans="1:18">
      <c r="A426" s="185"/>
      <c r="B426" s="661"/>
      <c r="C426" s="185"/>
      <c r="D426" s="186"/>
      <c r="E426" s="186"/>
      <c r="F426" s="186"/>
      <c r="G426" s="186"/>
      <c r="H426" s="186"/>
      <c r="I426" s="186"/>
      <c r="J426" s="186"/>
      <c r="K426" s="185"/>
      <c r="L426" s="185"/>
      <c r="M426" s="185"/>
      <c r="N426" s="185"/>
      <c r="O426" s="185"/>
      <c r="P426" s="185"/>
      <c r="Q426" s="185"/>
      <c r="R426" s="185"/>
    </row>
    <row r="427" spans="1:18">
      <c r="A427" s="185"/>
      <c r="B427" s="661"/>
      <c r="C427" s="185"/>
      <c r="D427" s="186"/>
      <c r="E427" s="186"/>
      <c r="F427" s="186"/>
      <c r="G427" s="186"/>
      <c r="H427" s="186"/>
      <c r="I427" s="186"/>
      <c r="J427" s="186"/>
      <c r="K427" s="185"/>
      <c r="L427" s="185"/>
      <c r="M427" s="185"/>
      <c r="N427" s="185"/>
      <c r="O427" s="185"/>
      <c r="P427" s="185"/>
      <c r="Q427" s="185"/>
      <c r="R427" s="185"/>
    </row>
    <row r="428" spans="1:18">
      <c r="A428" s="185"/>
      <c r="B428" s="661"/>
      <c r="C428" s="185"/>
      <c r="D428" s="186"/>
      <c r="E428" s="186"/>
      <c r="F428" s="186"/>
      <c r="G428" s="186"/>
      <c r="H428" s="186"/>
      <c r="I428" s="186"/>
      <c r="J428" s="186"/>
      <c r="K428" s="185"/>
      <c r="L428" s="185"/>
      <c r="M428" s="185"/>
      <c r="N428" s="185"/>
      <c r="O428" s="185"/>
      <c r="P428" s="185"/>
      <c r="Q428" s="185"/>
      <c r="R428" s="185"/>
    </row>
    <row r="429" spans="1:18">
      <c r="A429" s="185"/>
      <c r="B429" s="661"/>
      <c r="C429" s="185"/>
      <c r="D429" s="186"/>
      <c r="E429" s="186"/>
      <c r="F429" s="186"/>
      <c r="G429" s="186"/>
      <c r="H429" s="186"/>
      <c r="I429" s="186"/>
      <c r="J429" s="186"/>
      <c r="K429" s="185"/>
      <c r="L429" s="185"/>
      <c r="M429" s="185"/>
      <c r="N429" s="185"/>
      <c r="O429" s="185"/>
      <c r="P429" s="185"/>
      <c r="Q429" s="185"/>
      <c r="R429" s="185"/>
    </row>
    <row r="430" spans="1:18">
      <c r="A430" s="185"/>
      <c r="B430" s="661"/>
      <c r="C430" s="185"/>
      <c r="D430" s="186"/>
      <c r="E430" s="186"/>
      <c r="F430" s="186"/>
      <c r="G430" s="186"/>
      <c r="H430" s="186"/>
      <c r="I430" s="186"/>
      <c r="J430" s="186"/>
      <c r="K430" s="185"/>
      <c r="L430" s="185"/>
      <c r="M430" s="185"/>
      <c r="N430" s="185"/>
      <c r="O430" s="185"/>
      <c r="P430" s="185"/>
      <c r="Q430" s="185"/>
      <c r="R430" s="185"/>
    </row>
    <row r="431" spans="1:18">
      <c r="A431" s="185"/>
      <c r="B431" s="661"/>
      <c r="C431" s="185"/>
      <c r="D431" s="186"/>
      <c r="E431" s="186"/>
      <c r="F431" s="186"/>
      <c r="G431" s="186"/>
      <c r="H431" s="186"/>
      <c r="I431" s="186"/>
      <c r="J431" s="186"/>
      <c r="K431" s="185"/>
      <c r="L431" s="185"/>
      <c r="M431" s="185"/>
      <c r="N431" s="185"/>
      <c r="O431" s="185"/>
      <c r="P431" s="185"/>
      <c r="Q431" s="185"/>
      <c r="R431" s="185"/>
    </row>
    <row r="432" spans="1:18">
      <c r="A432" s="185"/>
      <c r="B432" s="661"/>
      <c r="C432" s="185"/>
      <c r="D432" s="186"/>
      <c r="E432" s="186"/>
      <c r="F432" s="186"/>
      <c r="G432" s="186"/>
      <c r="H432" s="186"/>
      <c r="I432" s="186"/>
      <c r="J432" s="186"/>
      <c r="K432" s="185"/>
      <c r="L432" s="185"/>
      <c r="M432" s="185"/>
      <c r="N432" s="185"/>
      <c r="O432" s="185"/>
      <c r="P432" s="185"/>
      <c r="Q432" s="185"/>
      <c r="R432" s="185"/>
    </row>
    <row r="433" spans="1:18">
      <c r="A433" s="185"/>
      <c r="B433" s="661"/>
      <c r="C433" s="185"/>
      <c r="D433" s="186"/>
      <c r="E433" s="186"/>
      <c r="F433" s="186"/>
      <c r="G433" s="186"/>
      <c r="H433" s="186"/>
      <c r="I433" s="186"/>
      <c r="J433" s="186"/>
      <c r="K433" s="185"/>
      <c r="L433" s="185"/>
      <c r="M433" s="185"/>
      <c r="N433" s="185"/>
      <c r="O433" s="185"/>
      <c r="P433" s="185"/>
      <c r="Q433" s="185"/>
      <c r="R433" s="185"/>
    </row>
    <row r="434" spans="1:18">
      <c r="A434" s="185"/>
      <c r="B434" s="661"/>
      <c r="C434" s="185"/>
      <c r="D434" s="186"/>
      <c r="E434" s="186"/>
      <c r="F434" s="186"/>
      <c r="G434" s="186"/>
      <c r="H434" s="186"/>
      <c r="I434" s="186"/>
      <c r="J434" s="186"/>
      <c r="K434" s="185"/>
      <c r="L434" s="185"/>
      <c r="M434" s="185"/>
      <c r="N434" s="185"/>
      <c r="O434" s="185"/>
      <c r="P434" s="185"/>
      <c r="Q434" s="185"/>
      <c r="R434" s="185"/>
    </row>
    <row r="435" spans="1:18">
      <c r="A435" s="185"/>
      <c r="B435" s="661"/>
      <c r="C435" s="185"/>
      <c r="D435" s="186"/>
      <c r="E435" s="186"/>
      <c r="F435" s="186"/>
      <c r="G435" s="186"/>
      <c r="H435" s="186"/>
      <c r="I435" s="186"/>
      <c r="J435" s="186"/>
      <c r="K435" s="185"/>
      <c r="L435" s="185"/>
      <c r="M435" s="185"/>
      <c r="N435" s="185"/>
      <c r="O435" s="185"/>
      <c r="P435" s="185"/>
      <c r="Q435" s="185"/>
      <c r="R435" s="185"/>
    </row>
    <row r="436" spans="1:18">
      <c r="A436" s="185"/>
      <c r="B436" s="661"/>
      <c r="C436" s="185"/>
      <c r="D436" s="186"/>
      <c r="E436" s="186"/>
      <c r="F436" s="186"/>
      <c r="G436" s="186"/>
      <c r="H436" s="186"/>
      <c r="I436" s="186"/>
      <c r="J436" s="186"/>
      <c r="K436" s="185"/>
      <c r="L436" s="185"/>
      <c r="M436" s="185"/>
      <c r="N436" s="185"/>
      <c r="O436" s="185"/>
      <c r="P436" s="185"/>
      <c r="Q436" s="185"/>
      <c r="R436" s="185"/>
    </row>
    <row r="437" spans="1:18">
      <c r="A437" s="185"/>
      <c r="B437" s="661"/>
      <c r="C437" s="185"/>
      <c r="D437" s="186"/>
      <c r="E437" s="186"/>
      <c r="F437" s="186"/>
      <c r="G437" s="186"/>
      <c r="H437" s="186"/>
      <c r="I437" s="186"/>
      <c r="J437" s="186"/>
      <c r="K437" s="185"/>
      <c r="L437" s="185"/>
      <c r="M437" s="185"/>
      <c r="N437" s="185"/>
      <c r="O437" s="185"/>
      <c r="P437" s="185"/>
      <c r="Q437" s="185"/>
      <c r="R437" s="185"/>
    </row>
    <row r="438" spans="1:18">
      <c r="A438" s="185"/>
      <c r="B438" s="661"/>
      <c r="C438" s="185"/>
      <c r="D438" s="186"/>
      <c r="E438" s="186"/>
      <c r="F438" s="186"/>
      <c r="G438" s="186"/>
      <c r="H438" s="186"/>
      <c r="I438" s="186"/>
      <c r="J438" s="186"/>
      <c r="K438" s="185"/>
      <c r="L438" s="185"/>
      <c r="M438" s="185"/>
      <c r="N438" s="185"/>
      <c r="O438" s="185"/>
      <c r="P438" s="185"/>
      <c r="Q438" s="185"/>
      <c r="R438" s="185"/>
    </row>
    <row r="439" spans="1:18">
      <c r="A439" s="185"/>
      <c r="B439" s="661"/>
      <c r="C439" s="185"/>
      <c r="D439" s="186"/>
      <c r="E439" s="186"/>
      <c r="F439" s="186"/>
      <c r="G439" s="186"/>
      <c r="H439" s="186"/>
      <c r="I439" s="186"/>
      <c r="J439" s="186"/>
      <c r="K439" s="185"/>
      <c r="L439" s="185"/>
      <c r="M439" s="185"/>
      <c r="N439" s="185"/>
      <c r="O439" s="185"/>
      <c r="P439" s="185"/>
      <c r="Q439" s="185"/>
      <c r="R439" s="185"/>
    </row>
    <row r="440" spans="1:18">
      <c r="A440" s="185"/>
      <c r="B440" s="661"/>
      <c r="C440" s="185"/>
      <c r="D440" s="186"/>
      <c r="E440" s="186"/>
      <c r="F440" s="186"/>
      <c r="G440" s="186"/>
      <c r="H440" s="186"/>
      <c r="I440" s="186"/>
      <c r="J440" s="186"/>
      <c r="K440" s="185"/>
      <c r="L440" s="185"/>
      <c r="M440" s="185"/>
      <c r="N440" s="185"/>
      <c r="O440" s="185"/>
      <c r="P440" s="185"/>
      <c r="Q440" s="185"/>
      <c r="R440" s="185"/>
    </row>
    <row r="441" spans="1:18">
      <c r="A441" s="185"/>
      <c r="B441" s="661"/>
      <c r="C441" s="185"/>
      <c r="D441" s="186"/>
      <c r="E441" s="186"/>
      <c r="F441" s="186"/>
      <c r="G441" s="186"/>
      <c r="H441" s="186"/>
      <c r="I441" s="186"/>
      <c r="J441" s="186"/>
      <c r="K441" s="185"/>
      <c r="L441" s="185"/>
      <c r="M441" s="185"/>
      <c r="N441" s="185"/>
      <c r="O441" s="185"/>
      <c r="P441" s="185"/>
      <c r="Q441" s="185"/>
      <c r="R441" s="185"/>
    </row>
    <row r="442" spans="1:18">
      <c r="A442" s="185"/>
      <c r="B442" s="661"/>
      <c r="C442" s="185"/>
      <c r="D442" s="186"/>
      <c r="E442" s="186"/>
      <c r="F442" s="186"/>
      <c r="G442" s="186"/>
      <c r="H442" s="186"/>
      <c r="I442" s="186"/>
      <c r="J442" s="186"/>
      <c r="K442" s="185"/>
      <c r="L442" s="185"/>
      <c r="M442" s="185"/>
      <c r="N442" s="185"/>
      <c r="O442" s="185"/>
      <c r="P442" s="185"/>
      <c r="Q442" s="185"/>
      <c r="R442" s="185"/>
    </row>
    <row r="443" spans="1:18">
      <c r="A443" s="185"/>
      <c r="B443" s="661"/>
      <c r="C443" s="185"/>
      <c r="D443" s="186"/>
      <c r="E443" s="186"/>
      <c r="F443" s="186"/>
      <c r="G443" s="186"/>
      <c r="H443" s="186"/>
      <c r="I443" s="186"/>
      <c r="J443" s="186"/>
      <c r="K443" s="185"/>
      <c r="L443" s="185"/>
      <c r="M443" s="185"/>
      <c r="N443" s="185"/>
      <c r="O443" s="185"/>
      <c r="P443" s="185"/>
      <c r="Q443" s="185"/>
      <c r="R443" s="185"/>
    </row>
    <row r="444" spans="1:18">
      <c r="A444" s="185"/>
      <c r="B444" s="661"/>
      <c r="C444" s="185"/>
      <c r="D444" s="186"/>
      <c r="E444" s="186"/>
      <c r="F444" s="186"/>
      <c r="G444" s="186"/>
      <c r="H444" s="186"/>
      <c r="I444" s="186"/>
      <c r="J444" s="186"/>
      <c r="K444" s="185"/>
      <c r="L444" s="185"/>
      <c r="M444" s="185"/>
      <c r="N444" s="185"/>
      <c r="O444" s="185"/>
      <c r="P444" s="185"/>
      <c r="Q444" s="185"/>
      <c r="R444" s="185"/>
    </row>
    <row r="445" spans="1:18">
      <c r="A445" s="185"/>
      <c r="B445" s="661"/>
      <c r="C445" s="185"/>
      <c r="D445" s="186"/>
      <c r="E445" s="186"/>
      <c r="F445" s="186"/>
      <c r="G445" s="186"/>
      <c r="H445" s="186"/>
      <c r="I445" s="186"/>
      <c r="J445" s="186"/>
      <c r="K445" s="185"/>
      <c r="L445" s="185"/>
      <c r="M445" s="185"/>
      <c r="N445" s="185"/>
      <c r="O445" s="185"/>
      <c r="P445" s="185"/>
      <c r="Q445" s="185"/>
      <c r="R445" s="185"/>
    </row>
    <row r="446" spans="1:18">
      <c r="A446" s="185"/>
      <c r="B446" s="661"/>
      <c r="C446" s="185"/>
      <c r="D446" s="186"/>
      <c r="E446" s="186"/>
      <c r="F446" s="186"/>
      <c r="G446" s="186"/>
      <c r="H446" s="186"/>
      <c r="I446" s="186"/>
      <c r="J446" s="186"/>
      <c r="K446" s="185"/>
      <c r="L446" s="185"/>
      <c r="M446" s="185"/>
      <c r="N446" s="185"/>
      <c r="O446" s="185"/>
      <c r="P446" s="185"/>
      <c r="Q446" s="185"/>
      <c r="R446" s="185"/>
    </row>
  </sheetData>
  <mergeCells count="20">
    <mergeCell ref="D53:K53"/>
    <mergeCell ref="E56:F57"/>
    <mergeCell ref="I56:L56"/>
    <mergeCell ref="I57:J57"/>
    <mergeCell ref="K57:L57"/>
    <mergeCell ref="K93:M94"/>
    <mergeCell ref="E55:M55"/>
    <mergeCell ref="D1:K1"/>
    <mergeCell ref="D2:K2"/>
    <mergeCell ref="D3:K3"/>
    <mergeCell ref="E6:M6"/>
    <mergeCell ref="I7:L7"/>
    <mergeCell ref="I8:J8"/>
    <mergeCell ref="K8:L8"/>
    <mergeCell ref="D48:L48"/>
    <mergeCell ref="D50:K50"/>
    <mergeCell ref="D51:K51"/>
    <mergeCell ref="D52:K52"/>
    <mergeCell ref="D4:K4"/>
    <mergeCell ref="E8:F8"/>
  </mergeCells>
  <conditionalFormatting sqref="E12:F14 E19:F25 E30:F35 E40:F44 E62:F64 E74:F85 E69:F69 E65:E68">
    <cfRule type="expression" dxfId="17" priority="2" stopIfTrue="1">
      <formula>$H$7="Estimated"</formula>
    </cfRule>
  </conditionalFormatting>
  <conditionalFormatting sqref="F65:F68">
    <cfRule type="expression" dxfId="16" priority="1" stopIfTrue="1">
      <formula>$H$7="Estimated"</formula>
    </cfRule>
  </conditionalFormatting>
  <printOptions horizontalCentered="1" verticalCentered="1"/>
  <pageMargins left="0.25" right="0.25" top="0.75" bottom="0.75" header="0.3" footer="0.3"/>
  <pageSetup scale="62" fitToHeight="2" orientation="landscape" blackAndWhite="1" r:id="rId1"/>
  <headerFooter alignWithMargins="0"/>
  <rowBreaks count="1" manualBreakCount="1">
    <brk id="49" max="14" man="1"/>
  </rowBreaks>
  <legacyDrawing r:id="rId2"/>
</worksheet>
</file>

<file path=xl/worksheets/sheet25.xml><?xml version="1.0" encoding="utf-8"?>
<worksheet xmlns="http://schemas.openxmlformats.org/spreadsheetml/2006/main" xmlns:r="http://schemas.openxmlformats.org/officeDocument/2006/relationships">
  <sheetPr codeName="Sheet13"/>
  <dimension ref="A1:S313"/>
  <sheetViews>
    <sheetView showGridLines="0" topLeftCell="B67" zoomScaleNormal="100" workbookViewId="0">
      <selection activeCell="O92" sqref="O92"/>
    </sheetView>
  </sheetViews>
  <sheetFormatPr defaultRowHeight="12.75"/>
  <cols>
    <col min="1" max="1" width="9.140625" style="28"/>
    <col min="2" max="2" width="10.28515625" style="129" customWidth="1"/>
    <col min="3" max="3" width="31.7109375" style="91" customWidth="1"/>
    <col min="4" max="4" width="6" style="91" customWidth="1"/>
    <col min="5" max="5" width="9.7109375" style="91" customWidth="1"/>
    <col min="6" max="6" width="1.7109375" style="91" customWidth="1"/>
    <col min="7" max="7" width="17" style="90" customWidth="1"/>
    <col min="8" max="8" width="14.28515625" style="133" customWidth="1"/>
    <col min="9" max="9" width="7.7109375" style="133" customWidth="1"/>
    <col min="10" max="10" width="9.85546875" style="99" customWidth="1"/>
    <col min="11" max="11" width="14.28515625" style="94" customWidth="1"/>
    <col min="12" max="12" width="15" style="95" customWidth="1"/>
    <col min="13" max="13" width="15.140625" style="95" customWidth="1"/>
    <col min="14" max="14" width="15.140625" style="91" customWidth="1"/>
    <col min="15" max="15" width="15" style="98" customWidth="1"/>
    <col min="16" max="16384" width="9.140625" style="28"/>
  </cols>
  <sheetData>
    <row r="1" spans="1:19">
      <c r="A1" s="460"/>
      <c r="B1" s="714" t="str">
        <f>TestYear &amp; " Test Year"</f>
        <v>2015 Test Year</v>
      </c>
      <c r="C1" s="671"/>
      <c r="D1" s="671"/>
      <c r="E1" s="671"/>
      <c r="F1" s="671"/>
      <c r="G1" s="671"/>
      <c r="H1" s="1270"/>
      <c r="I1" s="1270"/>
      <c r="J1" s="746"/>
      <c r="K1" s="1271"/>
      <c r="L1" s="1111"/>
      <c r="M1" s="1111"/>
      <c r="N1" s="671"/>
      <c r="O1" s="1001"/>
      <c r="P1" s="1001" t="s">
        <v>648</v>
      </c>
      <c r="Q1" s="460"/>
      <c r="R1" s="460"/>
      <c r="S1" s="460"/>
    </row>
    <row r="2" spans="1:19">
      <c r="A2" s="460"/>
      <c r="B2" s="1973" t="str">
        <f>Utility</f>
        <v>MADISON WATER UTILITY</v>
      </c>
      <c r="C2" s="1973"/>
      <c r="D2" s="1973"/>
      <c r="E2" s="1973"/>
      <c r="F2" s="1973"/>
      <c r="G2" s="1973"/>
      <c r="H2" s="1973"/>
      <c r="I2" s="1973"/>
      <c r="J2" s="1973"/>
      <c r="K2" s="1973"/>
      <c r="L2" s="1973"/>
      <c r="M2" s="1973"/>
      <c r="N2" s="1973"/>
      <c r="O2" s="1973"/>
      <c r="P2" s="1973"/>
      <c r="Q2" s="460"/>
      <c r="R2" s="460"/>
      <c r="S2" s="460"/>
    </row>
    <row r="3" spans="1:19" ht="15.75" customHeight="1">
      <c r="A3" s="460"/>
      <c r="B3" s="1942" t="s">
        <v>649</v>
      </c>
      <c r="C3" s="1942"/>
      <c r="D3" s="1942"/>
      <c r="E3" s="1942"/>
      <c r="F3" s="1942"/>
      <c r="G3" s="1942"/>
      <c r="H3" s="1942"/>
      <c r="I3" s="1942"/>
      <c r="J3" s="1942"/>
      <c r="K3" s="1942"/>
      <c r="L3" s="1942"/>
      <c r="M3" s="1942"/>
      <c r="N3" s="1942"/>
      <c r="O3" s="1942"/>
      <c r="P3" s="1942"/>
      <c r="Q3" s="460"/>
      <c r="R3" s="460"/>
      <c r="S3" s="460"/>
    </row>
    <row r="4" spans="1:19">
      <c r="A4" s="460"/>
      <c r="B4" s="2014" t="str">
        <f>CONCATENATE("Estimated for Test Year ",TestYear)</f>
        <v>Estimated for Test Year 2015</v>
      </c>
      <c r="C4" s="2014"/>
      <c r="D4" s="2014"/>
      <c r="E4" s="2014"/>
      <c r="F4" s="2014"/>
      <c r="G4" s="2014"/>
      <c r="H4" s="2014"/>
      <c r="I4" s="2014"/>
      <c r="J4" s="2014"/>
      <c r="K4" s="2014"/>
      <c r="L4" s="2014"/>
      <c r="M4" s="2014"/>
      <c r="N4" s="2014"/>
      <c r="O4" s="2014"/>
      <c r="P4" s="2014"/>
      <c r="Q4" s="460"/>
      <c r="R4" s="460"/>
      <c r="S4" s="460"/>
    </row>
    <row r="5" spans="1:19">
      <c r="A5" s="460"/>
      <c r="B5" s="1002"/>
      <c r="C5" s="671" t="s">
        <v>527</v>
      </c>
      <c r="D5" s="671"/>
      <c r="E5" s="1002"/>
      <c r="F5" s="1002"/>
      <c r="G5" s="671"/>
      <c r="H5" s="1270"/>
      <c r="I5" s="1270"/>
      <c r="J5" s="746"/>
      <c r="K5" s="1272"/>
      <c r="L5" s="1040"/>
      <c r="M5" s="1040"/>
      <c r="N5" s="1002"/>
      <c r="O5" s="1001"/>
      <c r="P5" s="460"/>
      <c r="Q5" s="460"/>
      <c r="R5" s="460"/>
      <c r="S5" s="460"/>
    </row>
    <row r="6" spans="1:19">
      <c r="A6" s="460"/>
      <c r="B6" s="1274" t="s">
        <v>650</v>
      </c>
      <c r="C6" s="1275" t="str">
        <f>CONCATENATE("The Estimated ",TestYear- 1,  " Depreciation Accrual in Column (A) is to be calculated based upon the current depreciation rates.")</f>
        <v>The Estimated 2014 Depreciation Accrual in Column (A) is to be calculated based upon the current depreciation rates.</v>
      </c>
      <c r="D6" s="1275"/>
      <c r="E6" s="1002"/>
      <c r="F6" s="1002"/>
      <c r="G6" s="822"/>
      <c r="H6" s="1270"/>
      <c r="I6" s="1270"/>
      <c r="J6" s="746"/>
      <c r="K6" s="1272"/>
      <c r="L6" s="1040"/>
      <c r="M6" s="1040"/>
      <c r="N6" s="1002"/>
      <c r="O6" s="1276"/>
      <c r="P6" s="460"/>
      <c r="Q6" s="460"/>
      <c r="R6" s="460"/>
      <c r="S6" s="460"/>
    </row>
    <row r="7" spans="1:19">
      <c r="A7" s="460"/>
      <c r="B7" s="1274" t="s">
        <v>651</v>
      </c>
      <c r="C7" s="2045" t="str">
        <f>CONCATENATE("The Test Year ",TestYear,  " Depreciation Accrual in Column (B) is to be based upon the PSC Recommended Depreciation Benchmark Rates (revised March 2, 2000) or upon the Utility Proposed Rates for the test year.")</f>
        <v>The Test Year 2015 Depreciation Accrual in Column (B) is to be based upon the PSC Recommended Depreciation Benchmark Rates (revised March 2, 2000) or upon the Utility Proposed Rates for the test year.</v>
      </c>
      <c r="D7" s="2046"/>
      <c r="E7" s="2046"/>
      <c r="F7" s="2046"/>
      <c r="G7" s="2046"/>
      <c r="H7" s="2046"/>
      <c r="I7" s="2046"/>
      <c r="J7" s="2046"/>
      <c r="K7" s="2046"/>
      <c r="L7" s="2046"/>
      <c r="M7" s="1040"/>
      <c r="N7" s="1002"/>
      <c r="O7" s="1001"/>
      <c r="P7" s="460"/>
      <c r="Q7" s="460"/>
      <c r="R7" s="460"/>
      <c r="S7" s="460"/>
    </row>
    <row r="8" spans="1:19" ht="13.5" thickBot="1">
      <c r="A8" s="460"/>
      <c r="B8" s="671"/>
      <c r="C8" s="2046"/>
      <c r="D8" s="2046"/>
      <c r="E8" s="2046"/>
      <c r="F8" s="2046"/>
      <c r="G8" s="2046"/>
      <c r="H8" s="2046"/>
      <c r="I8" s="2046"/>
      <c r="J8" s="2046"/>
      <c r="K8" s="2046"/>
      <c r="L8" s="2046"/>
      <c r="M8" s="1111"/>
      <c r="N8" s="1002"/>
      <c r="O8" s="1001"/>
      <c r="P8" s="460"/>
      <c r="Q8" s="460"/>
      <c r="R8" s="460"/>
      <c r="S8" s="460"/>
    </row>
    <row r="9" spans="1:19" ht="13.5" thickTop="1">
      <c r="A9" s="460"/>
      <c r="B9" s="1309"/>
      <c r="C9" s="1310"/>
      <c r="D9" s="1310"/>
      <c r="E9" s="1310"/>
      <c r="F9" s="1310"/>
      <c r="G9" s="1310"/>
      <c r="H9" s="1310"/>
      <c r="I9" s="1310"/>
      <c r="J9" s="1310"/>
      <c r="K9" s="1310"/>
      <c r="L9" s="1310"/>
      <c r="M9" s="1311"/>
      <c r="N9" s="1260"/>
      <c r="O9" s="1312"/>
      <c r="P9" s="500"/>
      <c r="Q9" s="460"/>
      <c r="R9" s="460"/>
      <c r="S9" s="460"/>
    </row>
    <row r="10" spans="1:19">
      <c r="A10" s="460"/>
      <c r="B10" s="1261"/>
      <c r="C10" s="719"/>
      <c r="D10" s="719"/>
      <c r="E10" s="2034" t="str">
        <f>CONCATENATE(Data!H5, " ",TestYear-1)</f>
        <v>Estimated 2014</v>
      </c>
      <c r="F10" s="2047"/>
      <c r="G10" s="2047"/>
      <c r="H10" s="2047"/>
      <c r="I10" s="1313"/>
      <c r="J10" s="2034" t="str">
        <f>CONCATENATE("Test Year ",TestYear)</f>
        <v>Test Year 2015</v>
      </c>
      <c r="K10" s="2034"/>
      <c r="L10" s="2034"/>
      <c r="M10" s="2034"/>
      <c r="N10" s="2047"/>
      <c r="O10" s="2047"/>
      <c r="P10" s="501"/>
      <c r="Q10" s="460"/>
      <c r="R10" s="460"/>
      <c r="S10" s="460"/>
    </row>
    <row r="11" spans="1:19" ht="15" customHeight="1">
      <c r="A11" s="460"/>
      <c r="B11" s="1027" t="s">
        <v>528</v>
      </c>
      <c r="C11" s="874"/>
      <c r="D11" s="719"/>
      <c r="E11" s="2044" t="s">
        <v>652</v>
      </c>
      <c r="F11" s="2044"/>
      <c r="G11" s="2044"/>
      <c r="H11" s="2044"/>
      <c r="I11" s="1314"/>
      <c r="J11" s="2044" t="s">
        <v>653</v>
      </c>
      <c r="K11" s="2044"/>
      <c r="L11" s="2044"/>
      <c r="M11" s="2044"/>
      <c r="N11" s="2044"/>
      <c r="O11" s="2044"/>
      <c r="P11" s="501"/>
      <c r="Q11" s="460"/>
      <c r="R11" s="460"/>
      <c r="S11" s="460"/>
    </row>
    <row r="12" spans="1:19">
      <c r="A12" s="460"/>
      <c r="B12" s="1027" t="s">
        <v>529</v>
      </c>
      <c r="C12" s="804" t="s">
        <v>576</v>
      </c>
      <c r="D12" s="1277"/>
      <c r="E12" s="1315" t="s">
        <v>654</v>
      </c>
      <c r="F12" s="1284"/>
      <c r="G12" s="804" t="s">
        <v>655</v>
      </c>
      <c r="H12" s="1303" t="s">
        <v>656</v>
      </c>
      <c r="I12" s="1314"/>
      <c r="J12" s="1316" t="s">
        <v>654</v>
      </c>
      <c r="K12" s="1286" t="s">
        <v>657</v>
      </c>
      <c r="L12" s="1287"/>
      <c r="M12" s="2023" t="s">
        <v>658</v>
      </c>
      <c r="N12" s="2042"/>
      <c r="O12" s="804" t="s">
        <v>396</v>
      </c>
      <c r="P12" s="501"/>
      <c r="Q12" s="460"/>
      <c r="R12" s="460"/>
      <c r="S12" s="460"/>
    </row>
    <row r="13" spans="1:19">
      <c r="A13" s="460"/>
      <c r="B13" s="1028" t="s">
        <v>530</v>
      </c>
      <c r="C13" s="1006" t="s">
        <v>578</v>
      </c>
      <c r="D13" s="1006"/>
      <c r="E13" s="1005" t="s">
        <v>998</v>
      </c>
      <c r="F13" s="1159"/>
      <c r="G13" s="1253" t="s">
        <v>585</v>
      </c>
      <c r="H13" s="1285" t="s">
        <v>659</v>
      </c>
      <c r="I13" s="937"/>
      <c r="J13" s="1253" t="s">
        <v>999</v>
      </c>
      <c r="K13" s="1283" t="s">
        <v>660</v>
      </c>
      <c r="L13" s="1254" t="s">
        <v>661</v>
      </c>
      <c r="M13" s="1254" t="s">
        <v>660</v>
      </c>
      <c r="N13" s="1254" t="s">
        <v>661</v>
      </c>
      <c r="O13" s="1253" t="s">
        <v>253</v>
      </c>
      <c r="P13" s="501"/>
      <c r="Q13" s="460"/>
      <c r="R13" s="460"/>
      <c r="S13" s="460"/>
    </row>
    <row r="14" spans="1:19">
      <c r="A14" s="460"/>
      <c r="B14" s="1261"/>
      <c r="C14" s="719"/>
      <c r="D14" s="719"/>
      <c r="E14" s="1278"/>
      <c r="F14" s="1301"/>
      <c r="G14" s="1277"/>
      <c r="H14" s="1279"/>
      <c r="I14" s="1314"/>
      <c r="J14" s="1277"/>
      <c r="K14" s="1278"/>
      <c r="L14" s="963"/>
      <c r="M14" s="963"/>
      <c r="N14" s="1277"/>
      <c r="O14" s="963"/>
      <c r="P14" s="501"/>
      <c r="Q14" s="460"/>
      <c r="R14" s="460"/>
      <c r="S14" s="460"/>
    </row>
    <row r="15" spans="1:19">
      <c r="A15" s="460"/>
      <c r="B15" s="1027" t="s">
        <v>662</v>
      </c>
      <c r="C15" s="719" t="s">
        <v>592</v>
      </c>
      <c r="D15" s="719"/>
      <c r="E15" s="1317" t="s">
        <v>663</v>
      </c>
      <c r="F15" s="920"/>
      <c r="G15" s="1280" t="s">
        <v>663</v>
      </c>
      <c r="H15" s="937" t="s">
        <v>663</v>
      </c>
      <c r="I15" s="1314"/>
      <c r="J15" s="1318" t="s">
        <v>663</v>
      </c>
      <c r="K15" s="1319" t="s">
        <v>663</v>
      </c>
      <c r="L15" s="1318" t="s">
        <v>663</v>
      </c>
      <c r="M15" s="1280" t="s">
        <v>663</v>
      </c>
      <c r="N15" s="1280" t="s">
        <v>663</v>
      </c>
      <c r="O15" s="937" t="s">
        <v>663</v>
      </c>
      <c r="P15" s="501"/>
      <c r="Q15" s="460"/>
      <c r="R15" s="460"/>
      <c r="S15" s="460"/>
    </row>
    <row r="16" spans="1:19">
      <c r="A16" s="460"/>
      <c r="B16" s="1027"/>
      <c r="C16" s="719"/>
      <c r="D16" s="719"/>
      <c r="E16" s="674" t="s">
        <v>593</v>
      </c>
      <c r="F16" s="674"/>
      <c r="G16" s="719" t="s">
        <v>593</v>
      </c>
      <c r="H16" s="1302" t="s">
        <v>593</v>
      </c>
      <c r="I16" s="1302"/>
      <c r="J16" s="865"/>
      <c r="K16" s="674"/>
      <c r="L16" s="719"/>
      <c r="M16" s="719"/>
      <c r="N16" s="719" t="s">
        <v>593</v>
      </c>
      <c r="O16" s="1247" t="s">
        <v>593</v>
      </c>
      <c r="P16" s="501"/>
      <c r="Q16" s="460"/>
      <c r="R16" s="460"/>
      <c r="S16" s="460"/>
    </row>
    <row r="17" spans="1:19">
      <c r="A17" s="460"/>
      <c r="B17" s="1027"/>
      <c r="C17" s="1277" t="s">
        <v>594</v>
      </c>
      <c r="D17" s="1277"/>
      <c r="E17" s="1035" t="s">
        <v>342</v>
      </c>
      <c r="F17" s="1035"/>
      <c r="G17" s="719"/>
      <c r="H17" s="1302"/>
      <c r="I17" s="1302"/>
      <c r="J17" s="1281"/>
      <c r="K17" s="1035"/>
      <c r="L17" s="1035"/>
      <c r="M17" s="1035"/>
      <c r="N17" s="674" t="s">
        <v>342</v>
      </c>
      <c r="O17" s="1035" t="s">
        <v>342</v>
      </c>
      <c r="P17" s="501"/>
      <c r="Q17" s="460"/>
      <c r="R17" s="460"/>
      <c r="S17" s="460"/>
    </row>
    <row r="18" spans="1:19">
      <c r="A18" s="460"/>
      <c r="B18" s="1027">
        <v>310</v>
      </c>
      <c r="C18" s="719" t="s">
        <v>595</v>
      </c>
      <c r="D18" s="719"/>
      <c r="E18" s="1317" t="s">
        <v>663</v>
      </c>
      <c r="F18" s="920"/>
      <c r="G18" s="1280" t="s">
        <v>663</v>
      </c>
      <c r="H18" s="1314" t="s">
        <v>663</v>
      </c>
      <c r="I18" s="1314"/>
      <c r="J18" s="1318" t="s">
        <v>663</v>
      </c>
      <c r="K18" s="1319" t="s">
        <v>663</v>
      </c>
      <c r="L18" s="1280" t="s">
        <v>663</v>
      </c>
      <c r="M18" s="1280" t="s">
        <v>663</v>
      </c>
      <c r="N18" s="1280" t="s">
        <v>663</v>
      </c>
      <c r="O18" s="1314" t="s">
        <v>663</v>
      </c>
      <c r="P18" s="501"/>
      <c r="Q18" s="460"/>
      <c r="R18" s="460"/>
      <c r="S18" s="460"/>
    </row>
    <row r="19" spans="1:19">
      <c r="A19" s="460"/>
      <c r="B19" s="702">
        <v>311</v>
      </c>
      <c r="C19" s="673" t="s">
        <v>596</v>
      </c>
      <c r="D19" s="673"/>
      <c r="E19" s="1317">
        <f>Data!C119</f>
        <v>0</v>
      </c>
      <c r="F19" s="738"/>
      <c r="G19" s="1321">
        <f>ROUND((Attach11!D20+Attach11!G20+0.5*(Attach11!E20-Attach11!F20)),0)</f>
        <v>0</v>
      </c>
      <c r="H19" s="1288">
        <f t="shared" ref="H19:H24" si="0">ROUND(E19*G19,0)</f>
        <v>0</v>
      </c>
      <c r="I19" s="1290"/>
      <c r="J19" s="1322">
        <v>3.2000000000000001E-2</v>
      </c>
      <c r="K19" s="1323">
        <f>Attach11!I20</f>
        <v>0</v>
      </c>
      <c r="L19" s="1321">
        <f>Attach11!N20-Attach11!I20</f>
        <v>0</v>
      </c>
      <c r="M19" s="1288">
        <f t="shared" ref="M19:M24" si="1">ROUND(J19*K19,0)</f>
        <v>0</v>
      </c>
      <c r="N19" s="1288">
        <f t="shared" ref="N19:N24" si="2">ROUND(J19*L19,0)</f>
        <v>0</v>
      </c>
      <c r="O19" s="1314">
        <f t="shared" ref="O19:O24" si="3">M19+N19</f>
        <v>0</v>
      </c>
      <c r="P19" s="501"/>
      <c r="Q19" s="460"/>
      <c r="R19" s="460"/>
      <c r="S19" s="460"/>
    </row>
    <row r="20" spans="1:19">
      <c r="A20" s="460"/>
      <c r="B20" s="702">
        <v>312</v>
      </c>
      <c r="C20" s="673" t="s">
        <v>597</v>
      </c>
      <c r="D20" s="673"/>
      <c r="E20" s="1317">
        <f>Data!C120</f>
        <v>1.7000000000000001E-2</v>
      </c>
      <c r="F20" s="738"/>
      <c r="G20" s="1321">
        <f>ROUND((Attach11!D21+Attach11!G21+0.5*(Attach11!E21-Attach11!F21)),0)</f>
        <v>6006954</v>
      </c>
      <c r="H20" s="1289">
        <f t="shared" si="0"/>
        <v>102118</v>
      </c>
      <c r="I20" s="1290"/>
      <c r="J20" s="1322">
        <v>1.7000000000000001E-2</v>
      </c>
      <c r="K20" s="1319">
        <f>Attach11!I21</f>
        <v>506000</v>
      </c>
      <c r="L20" s="1324">
        <f>Attach11!N21-Attach11!I21</f>
        <v>6447037</v>
      </c>
      <c r="M20" s="1289">
        <f t="shared" si="1"/>
        <v>8602</v>
      </c>
      <c r="N20" s="1289">
        <f t="shared" si="2"/>
        <v>109600</v>
      </c>
      <c r="O20" s="1035">
        <f t="shared" si="3"/>
        <v>118202</v>
      </c>
      <c r="P20" s="501"/>
      <c r="Q20" s="460"/>
      <c r="R20" s="460"/>
      <c r="S20" s="460"/>
    </row>
    <row r="21" spans="1:19">
      <c r="A21" s="460"/>
      <c r="B21" s="702">
        <v>313</v>
      </c>
      <c r="C21" s="673" t="s">
        <v>598</v>
      </c>
      <c r="D21" s="673"/>
      <c r="E21" s="1317">
        <f>Data!C121</f>
        <v>0</v>
      </c>
      <c r="F21" s="738"/>
      <c r="G21" s="1321">
        <f>ROUND((Attach11!D22+Attach11!G22+0.5*(Attach11!E22-Attach11!F22)),0)</f>
        <v>0</v>
      </c>
      <c r="H21" s="1289">
        <f t="shared" si="0"/>
        <v>0</v>
      </c>
      <c r="I21" s="1290"/>
      <c r="J21" s="1322">
        <v>1.7000000000000001E-2</v>
      </c>
      <c r="K21" s="1319">
        <f>Attach11!I22</f>
        <v>0</v>
      </c>
      <c r="L21" s="1324">
        <f>Attach11!N22-Attach11!I22</f>
        <v>0</v>
      </c>
      <c r="M21" s="1289">
        <f t="shared" si="1"/>
        <v>0</v>
      </c>
      <c r="N21" s="1289">
        <f t="shared" si="2"/>
        <v>0</v>
      </c>
      <c r="O21" s="1035">
        <f t="shared" si="3"/>
        <v>0</v>
      </c>
      <c r="P21" s="501"/>
      <c r="Q21" s="460"/>
      <c r="R21" s="460"/>
      <c r="S21" s="460"/>
    </row>
    <row r="22" spans="1:19">
      <c r="A22" s="460"/>
      <c r="B22" s="702">
        <v>314</v>
      </c>
      <c r="C22" s="673" t="s">
        <v>599</v>
      </c>
      <c r="D22" s="673"/>
      <c r="E22" s="1317">
        <f>Data!C122</f>
        <v>2.9000000000000001E-2</v>
      </c>
      <c r="F22" s="738"/>
      <c r="G22" s="1321">
        <f>ROUND((Attach11!D23+Attach11!G23+0.5*(Attach11!E23-Attach11!F23)),0)</f>
        <v>4831942</v>
      </c>
      <c r="H22" s="1289">
        <f t="shared" si="0"/>
        <v>140126</v>
      </c>
      <c r="I22" s="1290"/>
      <c r="J22" s="1322">
        <v>2.9000000000000001E-2</v>
      </c>
      <c r="K22" s="1319">
        <f>Attach11!I23</f>
        <v>0</v>
      </c>
      <c r="L22" s="1324">
        <f>Attach11!N23-Attach11!I23</f>
        <v>5881905</v>
      </c>
      <c r="M22" s="1289">
        <f t="shared" si="1"/>
        <v>0</v>
      </c>
      <c r="N22" s="1289">
        <f t="shared" si="2"/>
        <v>170575</v>
      </c>
      <c r="O22" s="1035">
        <f t="shared" si="3"/>
        <v>170575</v>
      </c>
      <c r="P22" s="501"/>
      <c r="Q22" s="460"/>
      <c r="R22" s="460"/>
      <c r="S22" s="460"/>
    </row>
    <row r="23" spans="1:19">
      <c r="A23" s="460"/>
      <c r="B23" s="702">
        <v>316</v>
      </c>
      <c r="C23" s="673" t="s">
        <v>600</v>
      </c>
      <c r="D23" s="673"/>
      <c r="E23" s="1317">
        <f>Data!C123</f>
        <v>0</v>
      </c>
      <c r="F23" s="738"/>
      <c r="G23" s="1321">
        <f>ROUND((Attach11!D24+Attach11!G24+0.5*(Attach11!E24-Attach11!F24)),0)</f>
        <v>0</v>
      </c>
      <c r="H23" s="1289">
        <f t="shared" si="0"/>
        <v>0</v>
      </c>
      <c r="I23" s="1290"/>
      <c r="J23" s="1322">
        <v>1.7999999999999999E-2</v>
      </c>
      <c r="K23" s="1319">
        <f>Attach11!I24</f>
        <v>0</v>
      </c>
      <c r="L23" s="1324">
        <f>Attach11!N24-Attach11!I24</f>
        <v>0</v>
      </c>
      <c r="M23" s="1289">
        <f t="shared" si="1"/>
        <v>0</v>
      </c>
      <c r="N23" s="1289">
        <f t="shared" si="2"/>
        <v>0</v>
      </c>
      <c r="O23" s="1035">
        <f t="shared" si="3"/>
        <v>0</v>
      </c>
      <c r="P23" s="501"/>
      <c r="Q23" s="460"/>
      <c r="R23" s="460"/>
      <c r="S23" s="460"/>
    </row>
    <row r="24" spans="1:19">
      <c r="A24" s="460"/>
      <c r="B24" s="702">
        <v>317</v>
      </c>
      <c r="C24" s="673" t="s">
        <v>601</v>
      </c>
      <c r="D24" s="673"/>
      <c r="E24" s="1317">
        <f>Data!C124</f>
        <v>4.4999999999999998E-2</v>
      </c>
      <c r="F24" s="738"/>
      <c r="G24" s="1321">
        <f>ROUND((Attach11!D25+Attach11!G25+0.5*(Attach11!E25-Attach11!F25)),0)</f>
        <v>224237</v>
      </c>
      <c r="H24" s="1337">
        <f t="shared" si="0"/>
        <v>10091</v>
      </c>
      <c r="I24" s="1290"/>
      <c r="J24" s="1322">
        <v>4.4999999999999998E-2</v>
      </c>
      <c r="K24" s="1319">
        <f>Attach11!I25</f>
        <v>0</v>
      </c>
      <c r="L24" s="1324">
        <f>Attach11!N25-Attach11!I25</f>
        <v>291112</v>
      </c>
      <c r="M24" s="1289">
        <f t="shared" si="1"/>
        <v>0</v>
      </c>
      <c r="N24" s="1289">
        <f t="shared" si="2"/>
        <v>13100</v>
      </c>
      <c r="O24" s="1338">
        <f t="shared" si="3"/>
        <v>13100</v>
      </c>
      <c r="P24" s="501"/>
      <c r="Q24" s="460"/>
      <c r="R24" s="460"/>
      <c r="S24" s="460"/>
    </row>
    <row r="25" spans="1:19">
      <c r="A25" s="460"/>
      <c r="B25" s="702"/>
      <c r="C25" s="673"/>
      <c r="D25" s="673"/>
      <c r="E25" s="920"/>
      <c r="F25" s="738"/>
      <c r="G25" s="738"/>
      <c r="H25" s="1302"/>
      <c r="I25" s="1290"/>
      <c r="J25" s="1291"/>
      <c r="K25" s="676"/>
      <c r="L25" s="738"/>
      <c r="M25" s="738"/>
      <c r="N25" s="738"/>
      <c r="O25" s="1302"/>
      <c r="P25" s="501"/>
      <c r="Q25" s="460"/>
      <c r="R25" s="460"/>
      <c r="S25" s="460"/>
    </row>
    <row r="26" spans="1:19">
      <c r="A26" s="460"/>
      <c r="B26" s="702"/>
      <c r="C26" s="673" t="s">
        <v>602</v>
      </c>
      <c r="D26" s="673"/>
      <c r="E26" s="920"/>
      <c r="F26" s="738"/>
      <c r="G26" s="738"/>
      <c r="H26" s="1292">
        <f>SUM(H18:H24)</f>
        <v>252335</v>
      </c>
      <c r="I26" s="1290"/>
      <c r="J26" s="1291"/>
      <c r="K26" s="676"/>
      <c r="L26" s="738"/>
      <c r="M26" s="738"/>
      <c r="N26" s="738"/>
      <c r="O26" s="1292">
        <f>SUM(O18:O24)</f>
        <v>301877</v>
      </c>
      <c r="P26" s="501"/>
      <c r="Q26" s="460"/>
      <c r="R26" s="460"/>
      <c r="S26" s="460"/>
    </row>
    <row r="27" spans="1:19">
      <c r="A27" s="460"/>
      <c r="B27" s="702"/>
      <c r="C27" s="673"/>
      <c r="D27" s="673"/>
      <c r="E27" s="674" t="s">
        <v>593</v>
      </c>
      <c r="F27" s="676"/>
      <c r="G27" s="673" t="s">
        <v>593</v>
      </c>
      <c r="H27" s="1302" t="s">
        <v>593</v>
      </c>
      <c r="I27" s="1290"/>
      <c r="J27" s="735"/>
      <c r="K27" s="676"/>
      <c r="L27" s="673"/>
      <c r="M27" s="673"/>
      <c r="N27" s="673" t="s">
        <v>593</v>
      </c>
      <c r="O27" s="1247" t="s">
        <v>593</v>
      </c>
      <c r="P27" s="501"/>
      <c r="Q27" s="460"/>
      <c r="R27" s="460"/>
      <c r="S27" s="460"/>
    </row>
    <row r="28" spans="1:19" ht="15.75" customHeight="1">
      <c r="A28" s="460"/>
      <c r="B28" s="702"/>
      <c r="C28" s="736" t="s">
        <v>603</v>
      </c>
      <c r="D28" s="736"/>
      <c r="E28" s="674" t="s">
        <v>342</v>
      </c>
      <c r="F28" s="676"/>
      <c r="G28" s="673"/>
      <c r="H28" s="1302"/>
      <c r="I28" s="1290"/>
      <c r="J28" s="1269"/>
      <c r="K28" s="676"/>
      <c r="L28" s="676"/>
      <c r="M28" s="676"/>
      <c r="N28" s="676" t="s">
        <v>342</v>
      </c>
      <c r="O28" s="1035" t="s">
        <v>342</v>
      </c>
      <c r="P28" s="501"/>
      <c r="Q28" s="460"/>
      <c r="R28" s="460"/>
      <c r="S28" s="460"/>
    </row>
    <row r="29" spans="1:19">
      <c r="A29" s="460"/>
      <c r="B29" s="702">
        <v>320</v>
      </c>
      <c r="C29" s="673" t="s">
        <v>595</v>
      </c>
      <c r="D29" s="673"/>
      <c r="E29" s="1317" t="s">
        <v>663</v>
      </c>
      <c r="F29" s="738"/>
      <c r="G29" s="1268" t="s">
        <v>663</v>
      </c>
      <c r="H29" s="1314" t="s">
        <v>663</v>
      </c>
      <c r="I29" s="1293"/>
      <c r="J29" s="1294" t="s">
        <v>663</v>
      </c>
      <c r="K29" s="1325" t="s">
        <v>663</v>
      </c>
      <c r="L29" s="1293" t="s">
        <v>663</v>
      </c>
      <c r="M29" s="1268" t="s">
        <v>663</v>
      </c>
      <c r="N29" s="1268" t="s">
        <v>663</v>
      </c>
      <c r="O29" s="1314" t="s">
        <v>663</v>
      </c>
      <c r="P29" s="501"/>
      <c r="Q29" s="460"/>
      <c r="R29" s="460"/>
      <c r="S29" s="460"/>
    </row>
    <row r="30" spans="1:19">
      <c r="A30" s="460"/>
      <c r="B30" s="702">
        <v>321</v>
      </c>
      <c r="C30" s="673" t="s">
        <v>596</v>
      </c>
      <c r="D30" s="673"/>
      <c r="E30" s="1317">
        <f>Data!C126</f>
        <v>3.2000000000000001E-2</v>
      </c>
      <c r="F30" s="738"/>
      <c r="G30" s="1321">
        <f>ROUND((Attach11!D31+Attach11!G31+0.5*(Attach11!E31-Attach11!F31)),0)</f>
        <v>6947478</v>
      </c>
      <c r="H30" s="1288">
        <f>ROUND(E30*G30,0)</f>
        <v>222319</v>
      </c>
      <c r="I30" s="1290"/>
      <c r="J30" s="1322">
        <v>3.2000000000000001E-2</v>
      </c>
      <c r="K30" s="1323">
        <f>Attach11!I31</f>
        <v>530000</v>
      </c>
      <c r="L30" s="1321">
        <f>Attach11!N31-Attach11!I31</f>
        <v>8466911</v>
      </c>
      <c r="M30" s="1288">
        <f>ROUND(J30*K30,0)</f>
        <v>16960</v>
      </c>
      <c r="N30" s="1288">
        <f>ROUND(J30*L30,0)</f>
        <v>270941</v>
      </c>
      <c r="O30" s="1314">
        <f>M30+N30</f>
        <v>287901</v>
      </c>
      <c r="P30" s="501"/>
      <c r="Q30" s="460"/>
      <c r="R30" s="460"/>
      <c r="S30" s="460"/>
    </row>
    <row r="31" spans="1:19">
      <c r="A31" s="460"/>
      <c r="B31" s="702">
        <v>323</v>
      </c>
      <c r="C31" s="673" t="s">
        <v>604</v>
      </c>
      <c r="D31" s="673"/>
      <c r="E31" s="1317">
        <f>Data!C127</f>
        <v>4.3999999999999997E-2</v>
      </c>
      <c r="F31" s="738"/>
      <c r="G31" s="1321">
        <f>ROUND((Attach11!D32+Attach11!G32+0.5*(Attach11!E32-Attach11!F32)),0)</f>
        <v>299613</v>
      </c>
      <c r="H31" s="1289">
        <f>ROUND(E31*G31,0)</f>
        <v>13183</v>
      </c>
      <c r="I31" s="1290"/>
      <c r="J31" s="1322">
        <v>4.3999999999999997E-2</v>
      </c>
      <c r="K31" s="1319">
        <f>Attach11!I32</f>
        <v>0</v>
      </c>
      <c r="L31" s="1324">
        <f>Attach11!N32-Attach11!I32</f>
        <v>554815</v>
      </c>
      <c r="M31" s="1289">
        <f>ROUND(J31*K31,0)</f>
        <v>0</v>
      </c>
      <c r="N31" s="1289">
        <f>ROUND(J31*L31,0)</f>
        <v>24412</v>
      </c>
      <c r="O31" s="1035">
        <f>M31+N31</f>
        <v>24412</v>
      </c>
      <c r="P31" s="501"/>
      <c r="Q31" s="460"/>
      <c r="R31" s="460"/>
      <c r="S31" s="460"/>
    </row>
    <row r="32" spans="1:19">
      <c r="A32" s="460"/>
      <c r="B32" s="702">
        <v>325</v>
      </c>
      <c r="C32" s="673" t="s">
        <v>605</v>
      </c>
      <c r="D32" s="673"/>
      <c r="E32" s="1317">
        <f>Data!C128</f>
        <v>4.3999999999999997E-2</v>
      </c>
      <c r="F32" s="738"/>
      <c r="G32" s="1321">
        <f>ROUND((Attach11!D33+Attach11!G33+0.5*(Attach11!E33-Attach11!F33)),0)</f>
        <v>7156664</v>
      </c>
      <c r="H32" s="1289">
        <f>ROUND(E32*G32,0)</f>
        <v>314893</v>
      </c>
      <c r="I32" s="1290"/>
      <c r="J32" s="1322">
        <v>4.3999999999999997E-2</v>
      </c>
      <c r="K32" s="1319">
        <f>Attach11!I33</f>
        <v>892000</v>
      </c>
      <c r="L32" s="1324">
        <f>Attach11!N33-Attach11!I33</f>
        <v>8950228</v>
      </c>
      <c r="M32" s="1289">
        <f>ROUND(J32*K32,0)</f>
        <v>39248</v>
      </c>
      <c r="N32" s="1289">
        <f>ROUND(J32*L32,0)</f>
        <v>393810</v>
      </c>
      <c r="O32" s="1035">
        <f>M32+N32</f>
        <v>433058</v>
      </c>
      <c r="P32" s="501"/>
      <c r="Q32" s="460"/>
      <c r="R32" s="460"/>
      <c r="S32" s="460"/>
    </row>
    <row r="33" spans="1:19">
      <c r="A33" s="460"/>
      <c r="B33" s="702">
        <v>326</v>
      </c>
      <c r="C33" s="673" t="s">
        <v>606</v>
      </c>
      <c r="D33" s="673"/>
      <c r="E33" s="1317">
        <f>Data!C129</f>
        <v>0</v>
      </c>
      <c r="F33" s="738"/>
      <c r="G33" s="1321">
        <f>ROUND((Attach11!D34+Attach11!G34+0.5*(Attach11!E34-Attach11!F34)),0)</f>
        <v>0</v>
      </c>
      <c r="H33" s="1289">
        <f>ROUND(E33*G33,0)</f>
        <v>0</v>
      </c>
      <c r="I33" s="1290"/>
      <c r="J33" s="1322">
        <v>4.3999999999999997E-2</v>
      </c>
      <c r="K33" s="1319">
        <f>Attach11!I34</f>
        <v>0</v>
      </c>
      <c r="L33" s="1324">
        <f>Attach11!N34-Attach11!I34</f>
        <v>0</v>
      </c>
      <c r="M33" s="1289">
        <f>ROUND(J33*K33,0)</f>
        <v>0</v>
      </c>
      <c r="N33" s="1289">
        <f>ROUND(J33*L33,0)</f>
        <v>0</v>
      </c>
      <c r="O33" s="1035">
        <f>M33+N33</f>
        <v>0</v>
      </c>
      <c r="P33" s="501"/>
      <c r="Q33" s="460"/>
      <c r="R33" s="460"/>
      <c r="S33" s="460"/>
    </row>
    <row r="34" spans="1:19">
      <c r="A34" s="460"/>
      <c r="B34" s="702">
        <v>328</v>
      </c>
      <c r="C34" s="673" t="s">
        <v>607</v>
      </c>
      <c r="D34" s="673"/>
      <c r="E34" s="1317">
        <f>Data!C130</f>
        <v>4.3999999999999997E-2</v>
      </c>
      <c r="F34" s="738"/>
      <c r="G34" s="1321">
        <f>ROUND((Attach11!D35+Attach11!G35+0.5*(Attach11!E35-Attach11!F35)),0)</f>
        <v>15559</v>
      </c>
      <c r="H34" s="1292">
        <v>0</v>
      </c>
      <c r="I34" s="1290"/>
      <c r="J34" s="1322">
        <v>4.3999999999999997E-2</v>
      </c>
      <c r="K34" s="1319">
        <f>Attach11!I35</f>
        <v>0</v>
      </c>
      <c r="L34" s="1324">
        <f>Attach11!N35-Attach11!I35</f>
        <v>15559</v>
      </c>
      <c r="M34" s="1289">
        <f>ROUND(J34*K34,0)</f>
        <v>0</v>
      </c>
      <c r="N34" s="1289">
        <v>0</v>
      </c>
      <c r="O34" s="1338">
        <f>M34+N34</f>
        <v>0</v>
      </c>
      <c r="P34" s="501"/>
      <c r="Q34" s="460"/>
      <c r="R34" s="460"/>
      <c r="S34" s="460"/>
    </row>
    <row r="35" spans="1:19" ht="15.75" customHeight="1">
      <c r="A35" s="460"/>
      <c r="B35" s="702"/>
      <c r="C35" s="673"/>
      <c r="D35" s="673"/>
      <c r="E35" s="920"/>
      <c r="F35" s="738"/>
      <c r="G35" s="738"/>
      <c r="H35" s="1302"/>
      <c r="I35" s="1290"/>
      <c r="J35" s="1291"/>
      <c r="K35" s="676"/>
      <c r="L35" s="738"/>
      <c r="M35" s="738"/>
      <c r="N35" s="738"/>
      <c r="O35" s="1302"/>
      <c r="P35" s="501"/>
      <c r="Q35" s="460"/>
      <c r="R35" s="460"/>
      <c r="S35" s="460"/>
    </row>
    <row r="36" spans="1:19">
      <c r="A36" s="460"/>
      <c r="B36" s="702"/>
      <c r="C36" s="673" t="s">
        <v>608</v>
      </c>
      <c r="D36" s="673"/>
      <c r="E36" s="920"/>
      <c r="F36" s="738"/>
      <c r="G36" s="738"/>
      <c r="H36" s="1292">
        <f>SUM(H29:H34)</f>
        <v>550395</v>
      </c>
      <c r="I36" s="1290"/>
      <c r="J36" s="1291"/>
      <c r="K36" s="676"/>
      <c r="L36" s="738"/>
      <c r="M36" s="738"/>
      <c r="N36" s="738"/>
      <c r="O36" s="1292">
        <f>SUM(O29:O34)</f>
        <v>745371</v>
      </c>
      <c r="P36" s="501"/>
      <c r="Q36" s="460"/>
      <c r="R36" s="460"/>
      <c r="S36" s="460"/>
    </row>
    <row r="37" spans="1:19">
      <c r="A37" s="460"/>
      <c r="B37" s="702"/>
      <c r="C37" s="673"/>
      <c r="D37" s="673"/>
      <c r="E37" s="920"/>
      <c r="F37" s="738"/>
      <c r="G37" s="738"/>
      <c r="H37" s="1302"/>
      <c r="I37" s="1290"/>
      <c r="J37" s="1291"/>
      <c r="K37" s="676"/>
      <c r="L37" s="738"/>
      <c r="M37" s="738"/>
      <c r="N37" s="738"/>
      <c r="O37" s="1314"/>
      <c r="P37" s="501"/>
      <c r="Q37" s="460"/>
      <c r="R37" s="460"/>
      <c r="S37" s="460"/>
    </row>
    <row r="38" spans="1:19">
      <c r="A38" s="460"/>
      <c r="B38" s="702"/>
      <c r="C38" s="736" t="s">
        <v>609</v>
      </c>
      <c r="D38" s="736"/>
      <c r="E38" s="674" t="s">
        <v>342</v>
      </c>
      <c r="F38" s="676"/>
      <c r="G38" s="673"/>
      <c r="H38" s="1302"/>
      <c r="I38" s="1290"/>
      <c r="J38" s="1269"/>
      <c r="K38" s="676"/>
      <c r="L38" s="676"/>
      <c r="M38" s="676"/>
      <c r="N38" s="676" t="s">
        <v>342</v>
      </c>
      <c r="O38" s="1035" t="s">
        <v>342</v>
      </c>
      <c r="P38" s="501"/>
      <c r="Q38" s="460"/>
      <c r="R38" s="460"/>
      <c r="S38" s="460"/>
    </row>
    <row r="39" spans="1:19">
      <c r="A39" s="460"/>
      <c r="B39" s="702">
        <v>330</v>
      </c>
      <c r="C39" s="673" t="s">
        <v>595</v>
      </c>
      <c r="D39" s="673"/>
      <c r="E39" s="1317" t="s">
        <v>663</v>
      </c>
      <c r="F39" s="738"/>
      <c r="G39" s="1268" t="s">
        <v>663</v>
      </c>
      <c r="H39" s="1314" t="s">
        <v>663</v>
      </c>
      <c r="I39" s="1293"/>
      <c r="J39" s="1294" t="s">
        <v>663</v>
      </c>
      <c r="K39" s="1325" t="s">
        <v>663</v>
      </c>
      <c r="L39" s="1293" t="s">
        <v>663</v>
      </c>
      <c r="M39" s="1268" t="s">
        <v>663</v>
      </c>
      <c r="N39" s="1268" t="s">
        <v>663</v>
      </c>
      <c r="O39" s="1314" t="s">
        <v>663</v>
      </c>
      <c r="P39" s="501"/>
      <c r="Q39" s="460"/>
      <c r="R39" s="460"/>
      <c r="S39" s="460"/>
    </row>
    <row r="40" spans="1:19">
      <c r="A40" s="460"/>
      <c r="B40" s="702">
        <v>331</v>
      </c>
      <c r="C40" s="673" t="s">
        <v>596</v>
      </c>
      <c r="D40" s="673"/>
      <c r="E40" s="1317">
        <f>Data!C132</f>
        <v>3.2000000000000001E-2</v>
      </c>
      <c r="F40" s="738"/>
      <c r="G40" s="1321">
        <f>ROUND((Attach11!D41+Attach11!G41+0.5*(Attach11!E41-Attach11!F41)),0)</f>
        <v>1220631</v>
      </c>
      <c r="H40" s="1288">
        <f>ROUND(E40*G40,0)</f>
        <v>39060</v>
      </c>
      <c r="I40" s="1290"/>
      <c r="J40" s="1322">
        <v>3.2000000000000001E-2</v>
      </c>
      <c r="K40" s="1323">
        <f>Attach11!I41</f>
        <v>95000</v>
      </c>
      <c r="L40" s="1321">
        <f>Attach11!N41-Attach11!I41</f>
        <v>1471631</v>
      </c>
      <c r="M40" s="1288">
        <f>ROUND(J40*K40,0)</f>
        <v>3040</v>
      </c>
      <c r="N40" s="1288">
        <f>ROUND(J40*L40,0)</f>
        <v>47092</v>
      </c>
      <c r="O40" s="1314">
        <f>M40+N40</f>
        <v>50132</v>
      </c>
      <c r="P40" s="501"/>
      <c r="Q40" s="460"/>
      <c r="R40" s="460"/>
      <c r="S40" s="460"/>
    </row>
    <row r="41" spans="1:19">
      <c r="A41" s="460"/>
      <c r="B41" s="702">
        <v>332</v>
      </c>
      <c r="C41" s="673" t="s">
        <v>610</v>
      </c>
      <c r="D41" s="673"/>
      <c r="E41" s="1317">
        <f>Data!C133</f>
        <v>3.3000000000000002E-2</v>
      </c>
      <c r="F41" s="738"/>
      <c r="G41" s="1321">
        <f>ROUND((Attach11!D42+Attach11!G42+0.5*(Attach11!E42-Attach11!F42)),0)</f>
        <v>2507019</v>
      </c>
      <c r="H41" s="1289">
        <f>ROUND(E41*G41,0)</f>
        <v>82732</v>
      </c>
      <c r="I41" s="1290"/>
      <c r="J41" s="1322">
        <v>3.3000000000000002E-2</v>
      </c>
      <c r="K41" s="1319">
        <f>Attach11!I42</f>
        <v>446000</v>
      </c>
      <c r="L41" s="1324">
        <f>Attach11!N42-Attach11!I42</f>
        <v>4184822</v>
      </c>
      <c r="M41" s="1289">
        <f>ROUND(J41*K41,0)</f>
        <v>14718</v>
      </c>
      <c r="N41" s="1289">
        <f>ROUND(J41*L41,0)</f>
        <v>138099</v>
      </c>
      <c r="O41" s="1035">
        <f>M41+N41</f>
        <v>152817</v>
      </c>
      <c r="P41" s="501"/>
      <c r="Q41" s="460"/>
      <c r="R41" s="460"/>
      <c r="S41" s="460"/>
    </row>
    <row r="42" spans="1:19">
      <c r="A42" s="460"/>
      <c r="B42" s="702">
        <v>333</v>
      </c>
      <c r="C42" s="673" t="s">
        <v>611</v>
      </c>
      <c r="D42" s="673"/>
      <c r="E42" s="1317">
        <f>Data!C134</f>
        <v>0</v>
      </c>
      <c r="F42" s="738"/>
      <c r="G42" s="1321">
        <f>ROUND((Attach11!D43+Attach11!G43+0.5*(Attach11!E43-Attach11!F43)),0)</f>
        <v>0</v>
      </c>
      <c r="H42" s="1289">
        <f>ROUND(E42*G42,0)</f>
        <v>0</v>
      </c>
      <c r="I42" s="1290"/>
      <c r="J42" s="1322">
        <v>0.06</v>
      </c>
      <c r="K42" s="1319">
        <f>Attach11!I43</f>
        <v>0</v>
      </c>
      <c r="L42" s="1324">
        <f>Attach11!N43-Attach11!I43</f>
        <v>0</v>
      </c>
      <c r="M42" s="1289">
        <f>ROUND(J42*K42,0)</f>
        <v>0</v>
      </c>
      <c r="N42" s="1289">
        <f>ROUND(J42*L42,0)</f>
        <v>0</v>
      </c>
      <c r="O42" s="1035">
        <f>M42+N42</f>
        <v>0</v>
      </c>
      <c r="P42" s="501"/>
      <c r="Q42" s="460"/>
      <c r="R42" s="460"/>
      <c r="S42" s="460"/>
    </row>
    <row r="43" spans="1:19">
      <c r="A43" s="460"/>
      <c r="B43" s="702">
        <v>334</v>
      </c>
      <c r="C43" s="673" t="s">
        <v>612</v>
      </c>
      <c r="D43" s="673"/>
      <c r="E43" s="1317">
        <f>Data!C135</f>
        <v>0.06</v>
      </c>
      <c r="F43" s="738"/>
      <c r="G43" s="1321">
        <f>ROUND((Attach11!D44+Attach11!G44+0.5*(Attach11!E44-Attach11!F44)),0)</f>
        <v>763259</v>
      </c>
      <c r="H43" s="1337">
        <f>ROUND(E43*G43,0)</f>
        <v>45796</v>
      </c>
      <c r="I43" s="1290"/>
      <c r="J43" s="1322">
        <v>0.06</v>
      </c>
      <c r="K43" s="1319">
        <f>Attach11!I44</f>
        <v>521000</v>
      </c>
      <c r="L43" s="1324">
        <f>Attach11!N44-Attach11!I44</f>
        <v>1050403</v>
      </c>
      <c r="M43" s="1289">
        <f>ROUND(J43*K43,0)</f>
        <v>31260</v>
      </c>
      <c r="N43" s="1289">
        <f>ROUND(J43*L43,0)</f>
        <v>63024</v>
      </c>
      <c r="O43" s="1338">
        <f>M43+N43</f>
        <v>94284</v>
      </c>
      <c r="P43" s="501"/>
      <c r="Q43" s="460"/>
      <c r="R43" s="460"/>
      <c r="S43" s="460"/>
    </row>
    <row r="44" spans="1:19">
      <c r="A44" s="460"/>
      <c r="B44" s="702"/>
      <c r="C44" s="673"/>
      <c r="D44" s="673"/>
      <c r="E44" s="738"/>
      <c r="F44" s="738"/>
      <c r="G44" s="738"/>
      <c r="H44" s="1290"/>
      <c r="I44" s="1290"/>
      <c r="J44" s="1291"/>
      <c r="K44" s="676"/>
      <c r="L44" s="738"/>
      <c r="M44" s="738"/>
      <c r="N44" s="738"/>
      <c r="O44" s="1290"/>
      <c r="P44" s="501"/>
      <c r="Q44" s="460"/>
      <c r="R44" s="460"/>
      <c r="S44" s="460"/>
    </row>
    <row r="45" spans="1:19">
      <c r="A45" s="460"/>
      <c r="B45" s="702"/>
      <c r="C45" s="673" t="s">
        <v>613</v>
      </c>
      <c r="D45" s="673"/>
      <c r="E45" s="738"/>
      <c r="F45" s="738"/>
      <c r="G45" s="738"/>
      <c r="H45" s="1292">
        <f>SUM(H39:H43)</f>
        <v>167588</v>
      </c>
      <c r="I45" s="1290"/>
      <c r="J45" s="1291"/>
      <c r="K45" s="676"/>
      <c r="L45" s="738"/>
      <c r="M45" s="738"/>
      <c r="N45" s="738"/>
      <c r="O45" s="1292">
        <f>SUM(O39:O43)</f>
        <v>297233</v>
      </c>
      <c r="P45" s="501"/>
      <c r="Q45" s="460"/>
      <c r="R45" s="460"/>
      <c r="S45" s="460"/>
    </row>
    <row r="46" spans="1:19" ht="13.5" thickBot="1">
      <c r="A46" s="460"/>
      <c r="B46" s="846"/>
      <c r="C46" s="818"/>
      <c r="D46" s="818"/>
      <c r="E46" s="1326"/>
      <c r="F46" s="1326"/>
      <c r="G46" s="819"/>
      <c r="H46" s="1327"/>
      <c r="I46" s="1327"/>
      <c r="J46" s="1328"/>
      <c r="K46" s="1329"/>
      <c r="L46" s="1326"/>
      <c r="M46" s="1326"/>
      <c r="N46" s="1326"/>
      <c r="O46" s="1327"/>
      <c r="P46" s="508"/>
      <c r="Q46" s="460"/>
      <c r="R46" s="460"/>
      <c r="S46" s="460"/>
    </row>
    <row r="47" spans="1:19" ht="13.5" thickTop="1">
      <c r="A47" s="460"/>
      <c r="B47" s="720"/>
      <c r="C47" s="186"/>
      <c r="D47" s="186"/>
      <c r="E47" s="185"/>
      <c r="F47" s="185"/>
      <c r="G47" s="185"/>
      <c r="H47" s="1265"/>
      <c r="I47" s="1264"/>
      <c r="J47" s="899"/>
      <c r="K47" s="311"/>
      <c r="L47" s="316"/>
      <c r="M47" s="316"/>
      <c r="N47" s="316"/>
      <c r="O47" s="659"/>
      <c r="P47" s="460"/>
      <c r="Q47" s="460"/>
      <c r="R47" s="460"/>
      <c r="S47" s="460"/>
    </row>
    <row r="48" spans="1:19">
      <c r="A48" s="460"/>
      <c r="B48" s="720"/>
      <c r="C48" s="186"/>
      <c r="D48" s="186"/>
      <c r="E48" s="185"/>
      <c r="F48" s="185"/>
      <c r="G48" s="185"/>
      <c r="H48" s="1265"/>
      <c r="I48" s="1264"/>
      <c r="J48" s="899"/>
      <c r="K48" s="311"/>
      <c r="L48" s="316"/>
      <c r="M48" s="316"/>
      <c r="N48" s="316"/>
      <c r="O48" s="659"/>
      <c r="P48" s="460"/>
      <c r="Q48" s="460"/>
      <c r="R48" s="460"/>
      <c r="S48" s="460"/>
    </row>
    <row r="49" spans="1:19">
      <c r="A49" s="460"/>
      <c r="B49" s="1251" t="str">
        <f>B1</f>
        <v>2015 Test Year</v>
      </c>
      <c r="C49" s="1341"/>
      <c r="D49" s="1973" t="str">
        <f>Utility</f>
        <v>MADISON WATER UTILITY</v>
      </c>
      <c r="E49" s="1973"/>
      <c r="F49" s="1973"/>
      <c r="G49" s="1973"/>
      <c r="H49" s="1973"/>
      <c r="I49" s="1973"/>
      <c r="J49" s="1973"/>
      <c r="K49" s="1973"/>
      <c r="L49" s="1973"/>
      <c r="M49" s="1973"/>
      <c r="N49" s="1341"/>
      <c r="O49" s="1341"/>
      <c r="P49" s="1001" t="str">
        <f>P1</f>
        <v>ATTACHMENT 12</v>
      </c>
      <c r="Q49" s="460"/>
      <c r="R49" s="460"/>
      <c r="S49" s="460"/>
    </row>
    <row r="50" spans="1:19" ht="15.75" customHeight="1">
      <c r="A50" s="460"/>
      <c r="B50" s="1273"/>
      <c r="C50" s="1342"/>
      <c r="D50" s="1942" t="s">
        <v>649</v>
      </c>
      <c r="E50" s="1942"/>
      <c r="F50" s="1942"/>
      <c r="G50" s="1942"/>
      <c r="H50" s="1942"/>
      <c r="I50" s="1942"/>
      <c r="J50" s="1942"/>
      <c r="K50" s="1942"/>
      <c r="L50" s="1942"/>
      <c r="M50" s="1942"/>
      <c r="N50" s="1342"/>
      <c r="O50" s="1342"/>
      <c r="P50" s="1001" t="s">
        <v>552</v>
      </c>
      <c r="Q50" s="460"/>
      <c r="R50" s="460"/>
      <c r="S50" s="460"/>
    </row>
    <row r="51" spans="1:19" ht="15.75" customHeight="1" thickBot="1">
      <c r="A51" s="460"/>
      <c r="B51" s="2014" t="str">
        <f>CONCATENATE("Estimated for Test Year ",TestYear)</f>
        <v>Estimated for Test Year 2015</v>
      </c>
      <c r="C51" s="2014"/>
      <c r="D51" s="2014"/>
      <c r="E51" s="2014"/>
      <c r="F51" s="2014"/>
      <c r="G51" s="2014"/>
      <c r="H51" s="2014"/>
      <c r="I51" s="2014"/>
      <c r="J51" s="2014"/>
      <c r="K51" s="2014"/>
      <c r="L51" s="2014"/>
      <c r="M51" s="2014"/>
      <c r="N51" s="2014"/>
      <c r="O51" s="2014"/>
      <c r="P51" s="2014"/>
      <c r="Q51" s="460"/>
      <c r="R51" s="460"/>
      <c r="S51" s="460"/>
    </row>
    <row r="52" spans="1:19" ht="13.5" thickTop="1">
      <c r="A52" s="460"/>
      <c r="B52" s="1021"/>
      <c r="C52" s="1311"/>
      <c r="D52" s="1311"/>
      <c r="E52" s="1311"/>
      <c r="F52" s="1311"/>
      <c r="G52" s="1311"/>
      <c r="H52" s="1330"/>
      <c r="I52" s="1330"/>
      <c r="J52" s="1331"/>
      <c r="K52" s="1332"/>
      <c r="L52" s="1333"/>
      <c r="M52" s="1333"/>
      <c r="N52" s="1311"/>
      <c r="O52" s="1312"/>
      <c r="P52" s="500"/>
      <c r="Q52" s="460"/>
      <c r="R52" s="460"/>
      <c r="S52" s="460"/>
    </row>
    <row r="53" spans="1:19">
      <c r="A53" s="460"/>
      <c r="B53" s="1261"/>
      <c r="C53" s="719" t="s">
        <v>527</v>
      </c>
      <c r="D53" s="719"/>
      <c r="E53" s="803" t="str">
        <f>E10</f>
        <v>Estimated 2014</v>
      </c>
      <c r="F53" s="1008"/>
      <c r="G53" s="803"/>
      <c r="H53" s="1303"/>
      <c r="I53" s="1304"/>
      <c r="J53" s="2034" t="str">
        <f>J10</f>
        <v>Test Year 2015</v>
      </c>
      <c r="K53" s="2043"/>
      <c r="L53" s="2043"/>
      <c r="M53" s="2043"/>
      <c r="N53" s="2043"/>
      <c r="O53" s="2043"/>
      <c r="P53" s="501"/>
      <c r="Q53" s="460"/>
      <c r="R53" s="460"/>
      <c r="S53" s="460"/>
    </row>
    <row r="54" spans="1:19" ht="15" customHeight="1">
      <c r="A54" s="460"/>
      <c r="B54" s="1027" t="s">
        <v>528</v>
      </c>
      <c r="C54" s="874"/>
      <c r="D54" s="874"/>
      <c r="E54" s="2044" t="str">
        <f>E11</f>
        <v>(per Attach. 11)</v>
      </c>
      <c r="F54" s="2044"/>
      <c r="G54" s="2044"/>
      <c r="H54" s="2044"/>
      <c r="I54" s="1314"/>
      <c r="J54" s="2044" t="str">
        <f>J11</f>
        <v>(per Attachment 11)</v>
      </c>
      <c r="K54" s="2044"/>
      <c r="L54" s="2044"/>
      <c r="M54" s="2044"/>
      <c r="N54" s="2044"/>
      <c r="O54" s="2044"/>
      <c r="P54" s="501"/>
      <c r="Q54" s="460"/>
      <c r="R54" s="460"/>
      <c r="S54" s="460"/>
    </row>
    <row r="55" spans="1:19">
      <c r="A55" s="460"/>
      <c r="B55" s="1027" t="s">
        <v>529</v>
      </c>
      <c r="C55" s="804" t="s">
        <v>576</v>
      </c>
      <c r="D55" s="804"/>
      <c r="E55" s="1315" t="str">
        <f>E12</f>
        <v>Depr.</v>
      </c>
      <c r="F55" s="1278"/>
      <c r="G55" s="804" t="str">
        <f>G12</f>
        <v>Avg. Depreciable</v>
      </c>
      <c r="H55" s="804" t="str">
        <f>H12</f>
        <v>Depreciation</v>
      </c>
      <c r="I55" s="1314"/>
      <c r="J55" s="1306" t="str">
        <f>J12</f>
        <v>Depr.</v>
      </c>
      <c r="K55" s="2023" t="str">
        <f>K12</f>
        <v xml:space="preserve"> Average Depreciable Balance</v>
      </c>
      <c r="L55" s="2042"/>
      <c r="M55" s="2023" t="str">
        <f>M12</f>
        <v>Depreciation Accrual</v>
      </c>
      <c r="N55" s="2024"/>
      <c r="O55" s="1009" t="str">
        <f>O12</f>
        <v>Test Year</v>
      </c>
      <c r="P55" s="501"/>
      <c r="Q55" s="460"/>
      <c r="R55" s="460"/>
      <c r="S55" s="460"/>
    </row>
    <row r="56" spans="1:19" ht="17.25" customHeight="1">
      <c r="A56" s="460"/>
      <c r="B56" s="1262"/>
      <c r="C56" s="1305"/>
      <c r="D56" s="1305"/>
      <c r="E56" s="1005" t="str">
        <f>E13</f>
        <v>Rate (A)</v>
      </c>
      <c r="F56" s="1282"/>
      <c r="G56" s="1253" t="str">
        <f>G13</f>
        <v>Balance</v>
      </c>
      <c r="H56" s="1253" t="str">
        <f>H13</f>
        <v>Accrual</v>
      </c>
      <c r="I56" s="937"/>
      <c r="J56" s="1020" t="str">
        <f>J13</f>
        <v>Rate (B)</v>
      </c>
      <c r="K56" s="1283" t="str">
        <f>K13</f>
        <v>Major</v>
      </c>
      <c r="L56" s="1254" t="str">
        <f>L13</f>
        <v>Routine</v>
      </c>
      <c r="M56" s="1283" t="str">
        <f>M13</f>
        <v>Major</v>
      </c>
      <c r="N56" s="1254" t="str">
        <f>N13</f>
        <v>Routine</v>
      </c>
      <c r="O56" s="1253" t="str">
        <f>O13</f>
        <v>Total</v>
      </c>
      <c r="P56" s="501"/>
      <c r="Q56" s="460"/>
      <c r="R56" s="460"/>
      <c r="S56" s="460"/>
    </row>
    <row r="57" spans="1:19" ht="17.25" customHeight="1">
      <c r="A57" s="460"/>
      <c r="B57" s="1027"/>
      <c r="C57" s="1277" t="s">
        <v>614</v>
      </c>
      <c r="D57" s="1277"/>
      <c r="E57" s="719"/>
      <c r="F57" s="719"/>
      <c r="G57" s="719"/>
      <c r="H57" s="1302"/>
      <c r="I57" s="1302"/>
      <c r="J57" s="865"/>
      <c r="K57" s="674"/>
      <c r="L57" s="719"/>
      <c r="M57" s="719"/>
      <c r="N57" s="719"/>
      <c r="O57" s="1247"/>
      <c r="P57" s="501"/>
      <c r="Q57" s="460"/>
      <c r="R57" s="460"/>
      <c r="S57" s="460"/>
    </row>
    <row r="58" spans="1:19" ht="17.25" customHeight="1">
      <c r="A58" s="460"/>
      <c r="B58" s="702">
        <v>340</v>
      </c>
      <c r="C58" s="673" t="s">
        <v>595</v>
      </c>
      <c r="D58" s="673"/>
      <c r="E58" s="1320" t="s">
        <v>663</v>
      </c>
      <c r="F58" s="738"/>
      <c r="G58" s="1268" t="s">
        <v>663</v>
      </c>
      <c r="H58" s="1293" t="s">
        <v>663</v>
      </c>
      <c r="I58" s="1293"/>
      <c r="J58" s="1294" t="s">
        <v>663</v>
      </c>
      <c r="K58" s="1325" t="s">
        <v>663</v>
      </c>
      <c r="L58" s="1293" t="s">
        <v>663</v>
      </c>
      <c r="M58" s="1268" t="s">
        <v>663</v>
      </c>
      <c r="N58" s="1268" t="s">
        <v>663</v>
      </c>
      <c r="O58" s="1293" t="s">
        <v>663</v>
      </c>
      <c r="P58" s="501"/>
      <c r="Q58" s="460"/>
      <c r="R58" s="460"/>
      <c r="S58" s="460"/>
    </row>
    <row r="59" spans="1:19">
      <c r="A59" s="460"/>
      <c r="B59" s="702">
        <v>341</v>
      </c>
      <c r="C59" s="673" t="s">
        <v>596</v>
      </c>
      <c r="D59" s="673"/>
      <c r="E59" s="1317">
        <f>Data!C137</f>
        <v>3.2000000000000001E-2</v>
      </c>
      <c r="F59" s="738"/>
      <c r="G59" s="1321">
        <f>ROUND((Attach11!D60+Attach11!G60+0.5*(Attach11!E60-Attach11!F60)),0)</f>
        <v>684623</v>
      </c>
      <c r="H59" s="1288">
        <f t="shared" ref="H59:H65" si="4">ROUND(E59*G59,0)</f>
        <v>21908</v>
      </c>
      <c r="I59" s="1290"/>
      <c r="J59" s="1322">
        <v>3.2000000000000001E-2</v>
      </c>
      <c r="K59" s="1323">
        <f>Attach11!I60</f>
        <v>0</v>
      </c>
      <c r="L59" s="1321">
        <f>Attach11!N60-Attach11!I60</f>
        <v>684623</v>
      </c>
      <c r="M59" s="1288">
        <f t="shared" ref="M59:M65" si="5">ROUND(J59*K59,0)</f>
        <v>0</v>
      </c>
      <c r="N59" s="1288">
        <f t="shared" ref="N59:N65" si="6">ROUND(J59*L59,0)</f>
        <v>21908</v>
      </c>
      <c r="O59" s="1314">
        <f t="shared" ref="O59:O65" si="7">M59+N59</f>
        <v>21908</v>
      </c>
      <c r="P59" s="501"/>
      <c r="Q59" s="460"/>
      <c r="R59" s="460"/>
      <c r="S59" s="460"/>
    </row>
    <row r="60" spans="1:19">
      <c r="A60" s="460"/>
      <c r="B60" s="702">
        <v>342</v>
      </c>
      <c r="C60" s="673" t="s">
        <v>615</v>
      </c>
      <c r="D60" s="673"/>
      <c r="E60" s="1317">
        <f>Data!C138</f>
        <v>1.9E-2</v>
      </c>
      <c r="F60" s="738"/>
      <c r="G60" s="1321">
        <f>ROUND((Attach11!D61+Attach11!G61+0.5*(Attach11!E61-Attach11!F61)),0)</f>
        <v>6738774</v>
      </c>
      <c r="H60" s="1289">
        <f t="shared" si="4"/>
        <v>128037</v>
      </c>
      <c r="I60" s="1290"/>
      <c r="J60" s="1322">
        <v>1.9E-2</v>
      </c>
      <c r="K60" s="1319">
        <f>Attach11!I61</f>
        <v>0</v>
      </c>
      <c r="L60" s="1324">
        <f>Attach11!N61-Attach11!I61</f>
        <v>7528369</v>
      </c>
      <c r="M60" s="1289">
        <f t="shared" si="5"/>
        <v>0</v>
      </c>
      <c r="N60" s="1289">
        <f t="shared" si="6"/>
        <v>143039</v>
      </c>
      <c r="O60" s="1035">
        <f t="shared" si="7"/>
        <v>143039</v>
      </c>
      <c r="P60" s="501"/>
      <c r="Q60" s="460"/>
      <c r="R60" s="460"/>
      <c r="S60" s="460"/>
    </row>
    <row r="61" spans="1:19">
      <c r="A61" s="460"/>
      <c r="B61" s="702">
        <v>343</v>
      </c>
      <c r="C61" s="673" t="s">
        <v>616</v>
      </c>
      <c r="D61" s="673"/>
      <c r="E61" s="1317">
        <f>Data!C139</f>
        <v>1.2999999999999999E-2</v>
      </c>
      <c r="F61" s="738"/>
      <c r="G61" s="1321">
        <f>ROUND((Attach11!D62+Attach11!G62+0.5*(Attach11!E62-Attach11!F62)),0)</f>
        <v>87245179</v>
      </c>
      <c r="H61" s="1289">
        <f t="shared" si="4"/>
        <v>1134187</v>
      </c>
      <c r="I61" s="1290"/>
      <c r="J61" s="1322">
        <v>1.2999999999999999E-2</v>
      </c>
      <c r="K61" s="1319">
        <f>Attach11!I62</f>
        <v>1258000</v>
      </c>
      <c r="L61" s="1324">
        <f>Attach11!N62-Attach11!I62</f>
        <v>95657679</v>
      </c>
      <c r="M61" s="1289">
        <f t="shared" si="5"/>
        <v>16354</v>
      </c>
      <c r="N61" s="1289">
        <f t="shared" si="6"/>
        <v>1243550</v>
      </c>
      <c r="O61" s="1035">
        <f t="shared" si="7"/>
        <v>1259904</v>
      </c>
      <c r="P61" s="501"/>
      <c r="Q61" s="460"/>
      <c r="R61" s="460"/>
      <c r="S61" s="460"/>
    </row>
    <row r="62" spans="1:19">
      <c r="A62" s="460"/>
      <c r="B62" s="702">
        <v>345</v>
      </c>
      <c r="C62" s="673" t="s">
        <v>617</v>
      </c>
      <c r="D62" s="673"/>
      <c r="E62" s="1317">
        <f>Data!C140</f>
        <v>2.9000000000000001E-2</v>
      </c>
      <c r="F62" s="738"/>
      <c r="G62" s="1321">
        <f>ROUND((Attach11!D63+Attach11!G63+0.5*(Attach11!E63-Attach11!F63)),0)</f>
        <v>18618017</v>
      </c>
      <c r="H62" s="1289">
        <f t="shared" si="4"/>
        <v>539922</v>
      </c>
      <c r="I62" s="1290"/>
      <c r="J62" s="1322">
        <v>2.9000000000000001E-2</v>
      </c>
      <c r="K62" s="1319">
        <f>Attach11!I63</f>
        <v>0</v>
      </c>
      <c r="L62" s="1324">
        <f>Attach11!N63-Attach11!I63</f>
        <v>19183935</v>
      </c>
      <c r="M62" s="1289">
        <f t="shared" si="5"/>
        <v>0</v>
      </c>
      <c r="N62" s="1289">
        <f t="shared" si="6"/>
        <v>556334</v>
      </c>
      <c r="O62" s="1035">
        <f t="shared" si="7"/>
        <v>556334</v>
      </c>
      <c r="P62" s="501"/>
      <c r="Q62" s="460"/>
      <c r="R62" s="460"/>
      <c r="S62" s="460"/>
    </row>
    <row r="63" spans="1:19">
      <c r="A63" s="460"/>
      <c r="B63" s="702">
        <v>346</v>
      </c>
      <c r="C63" s="673" t="s">
        <v>618</v>
      </c>
      <c r="D63" s="673"/>
      <c r="E63" s="1317">
        <f>Data!C141</f>
        <v>5.5E-2</v>
      </c>
      <c r="F63" s="738"/>
      <c r="G63" s="1321">
        <f>ROUND((Attach11!D64+Attach11!G64+0.5*(Attach11!E64-Attach11!F64)),0)</f>
        <v>16724645</v>
      </c>
      <c r="H63" s="1289">
        <f t="shared" si="4"/>
        <v>919855</v>
      </c>
      <c r="I63" s="1290"/>
      <c r="J63" s="1322">
        <v>5.5E-2</v>
      </c>
      <c r="K63" s="1319">
        <f>Attach11!I64</f>
        <v>0</v>
      </c>
      <c r="L63" s="1324">
        <f>Attach11!N64-Attach11!I64</f>
        <v>16824555</v>
      </c>
      <c r="M63" s="1289">
        <f t="shared" si="5"/>
        <v>0</v>
      </c>
      <c r="N63" s="1289">
        <f t="shared" si="6"/>
        <v>925351</v>
      </c>
      <c r="O63" s="1035">
        <f t="shared" si="7"/>
        <v>925351</v>
      </c>
      <c r="P63" s="501"/>
      <c r="Q63" s="460"/>
      <c r="R63" s="460"/>
      <c r="S63" s="460"/>
    </row>
    <row r="64" spans="1:19">
      <c r="A64" s="460"/>
      <c r="B64" s="702">
        <v>348</v>
      </c>
      <c r="C64" s="673" t="s">
        <v>338</v>
      </c>
      <c r="D64" s="673"/>
      <c r="E64" s="1317">
        <f>Data!C142</f>
        <v>2.1999999999999999E-2</v>
      </c>
      <c r="F64" s="738"/>
      <c r="G64" s="1321">
        <f>ROUND((Attach11!D65+Attach11!G65+0.5*(Attach11!E65-Attach11!F65)),0)</f>
        <v>9269701</v>
      </c>
      <c r="H64" s="1289">
        <f t="shared" si="4"/>
        <v>203933</v>
      </c>
      <c r="I64" s="1290"/>
      <c r="J64" s="1322">
        <v>2.1999999999999999E-2</v>
      </c>
      <c r="K64" s="1319">
        <f>Attach11!I65</f>
        <v>0</v>
      </c>
      <c r="L64" s="1324">
        <f>Attach11!N65-Attach11!I65</f>
        <v>10034445</v>
      </c>
      <c r="M64" s="1289">
        <f t="shared" si="5"/>
        <v>0</v>
      </c>
      <c r="N64" s="1289">
        <f t="shared" si="6"/>
        <v>220758</v>
      </c>
      <c r="O64" s="1035">
        <f t="shared" si="7"/>
        <v>220758</v>
      </c>
      <c r="P64" s="501"/>
      <c r="Q64" s="460"/>
      <c r="R64" s="460"/>
      <c r="S64" s="460"/>
    </row>
    <row r="65" spans="1:19">
      <c r="A65" s="460"/>
      <c r="B65" s="702">
        <v>349</v>
      </c>
      <c r="C65" s="673" t="s">
        <v>619</v>
      </c>
      <c r="D65" s="673"/>
      <c r="E65" s="1317">
        <f>Data!C143</f>
        <v>1.55E-2</v>
      </c>
      <c r="F65" s="738"/>
      <c r="G65" s="1321">
        <f>ROUND((Attach11!D66+Attach11!G66+0.5*(Attach11!E66-Attach11!F66)),0)</f>
        <v>1</v>
      </c>
      <c r="H65" s="1337">
        <f t="shared" si="4"/>
        <v>0</v>
      </c>
      <c r="I65" s="1290"/>
      <c r="J65" s="1322">
        <v>0.05</v>
      </c>
      <c r="K65" s="1319">
        <f>Attach11!I66</f>
        <v>0</v>
      </c>
      <c r="L65" s="1324">
        <f>Attach11!N66-Attach11!I66</f>
        <v>1</v>
      </c>
      <c r="M65" s="1289">
        <f t="shared" si="5"/>
        <v>0</v>
      </c>
      <c r="N65" s="1289">
        <f t="shared" si="6"/>
        <v>0</v>
      </c>
      <c r="O65" s="1338">
        <f t="shared" si="7"/>
        <v>0</v>
      </c>
      <c r="P65" s="501"/>
      <c r="Q65" s="460"/>
      <c r="R65" s="460"/>
      <c r="S65" s="460"/>
    </row>
    <row r="66" spans="1:19">
      <c r="A66" s="460"/>
      <c r="B66" s="702"/>
      <c r="C66" s="673"/>
      <c r="D66" s="673"/>
      <c r="E66" s="920"/>
      <c r="F66" s="738"/>
      <c r="G66" s="738"/>
      <c r="H66" s="1302"/>
      <c r="I66" s="1290"/>
      <c r="J66" s="1291"/>
      <c r="K66" s="676"/>
      <c r="L66" s="738"/>
      <c r="M66" s="738"/>
      <c r="N66" s="738"/>
      <c r="O66" s="1302"/>
      <c r="P66" s="501"/>
      <c r="Q66" s="460"/>
      <c r="R66" s="460"/>
      <c r="S66" s="460"/>
    </row>
    <row r="67" spans="1:19">
      <c r="A67" s="460"/>
      <c r="B67" s="702"/>
      <c r="C67" s="673" t="s">
        <v>620</v>
      </c>
      <c r="D67" s="673"/>
      <c r="E67" s="920"/>
      <c r="F67" s="738"/>
      <c r="G67" s="738"/>
      <c r="H67" s="1292">
        <f>SUM(H58:H65)</f>
        <v>2947842</v>
      </c>
      <c r="I67" s="1290"/>
      <c r="J67" s="1291"/>
      <c r="K67" s="676"/>
      <c r="L67" s="738"/>
      <c r="M67" s="738"/>
      <c r="N67" s="738"/>
      <c r="O67" s="1292">
        <f>SUM(O58:O65)</f>
        <v>3127294</v>
      </c>
      <c r="P67" s="501"/>
      <c r="Q67" s="460"/>
      <c r="R67" s="460"/>
      <c r="S67" s="460"/>
    </row>
    <row r="68" spans="1:19" ht="14.25" customHeight="1">
      <c r="A68" s="460"/>
      <c r="B68" s="702"/>
      <c r="C68" s="673"/>
      <c r="D68" s="673"/>
      <c r="E68" s="674" t="s">
        <v>593</v>
      </c>
      <c r="F68" s="676"/>
      <c r="G68" s="673" t="s">
        <v>593</v>
      </c>
      <c r="H68" s="1302" t="s">
        <v>593</v>
      </c>
      <c r="I68" s="1290"/>
      <c r="J68" s="735"/>
      <c r="K68" s="676"/>
      <c r="L68" s="673"/>
      <c r="M68" s="673"/>
      <c r="N68" s="673" t="s">
        <v>593</v>
      </c>
      <c r="O68" s="1247" t="s">
        <v>593</v>
      </c>
      <c r="P68" s="501"/>
      <c r="Q68" s="460"/>
      <c r="R68" s="460"/>
      <c r="S68" s="460"/>
    </row>
    <row r="69" spans="1:19" ht="10.9" hidden="1" customHeight="1">
      <c r="A69" s="460"/>
      <c r="B69" s="702"/>
      <c r="C69" s="673"/>
      <c r="D69" s="673"/>
      <c r="E69" s="719"/>
      <c r="F69" s="673"/>
      <c r="G69" s="673"/>
      <c r="H69" s="1302"/>
      <c r="I69" s="1290"/>
      <c r="J69" s="735"/>
      <c r="K69" s="676"/>
      <c r="L69" s="673"/>
      <c r="M69" s="673"/>
      <c r="N69" s="673"/>
      <c r="O69" s="1247"/>
      <c r="P69" s="501"/>
      <c r="Q69" s="460"/>
      <c r="R69" s="460"/>
      <c r="S69" s="460"/>
    </row>
    <row r="70" spans="1:19">
      <c r="A70" s="460"/>
      <c r="B70" s="702"/>
      <c r="C70" s="736" t="s">
        <v>621</v>
      </c>
      <c r="D70" s="736"/>
      <c r="E70" s="674" t="s">
        <v>342</v>
      </c>
      <c r="F70" s="676"/>
      <c r="G70" s="673"/>
      <c r="H70" s="1302"/>
      <c r="I70" s="1290"/>
      <c r="J70" s="1269"/>
      <c r="K70" s="676"/>
      <c r="L70" s="676"/>
      <c r="M70" s="676"/>
      <c r="N70" s="676" t="s">
        <v>342</v>
      </c>
      <c r="O70" s="1035" t="s">
        <v>342</v>
      </c>
      <c r="P70" s="501"/>
      <c r="Q70" s="460"/>
      <c r="R70" s="460"/>
      <c r="S70" s="460"/>
    </row>
    <row r="71" spans="1:19">
      <c r="A71" s="460"/>
      <c r="B71" s="702">
        <v>389</v>
      </c>
      <c r="C71" s="673" t="s">
        <v>595</v>
      </c>
      <c r="D71" s="673"/>
      <c r="E71" s="1317" t="s">
        <v>663</v>
      </c>
      <c r="F71" s="738"/>
      <c r="G71" s="1268" t="s">
        <v>663</v>
      </c>
      <c r="H71" s="1314" t="s">
        <v>663</v>
      </c>
      <c r="I71" s="1293"/>
      <c r="J71" s="1294" t="s">
        <v>663</v>
      </c>
      <c r="K71" s="1325" t="s">
        <v>663</v>
      </c>
      <c r="L71" s="1293" t="s">
        <v>663</v>
      </c>
      <c r="M71" s="1268" t="s">
        <v>663</v>
      </c>
      <c r="N71" s="1268" t="s">
        <v>663</v>
      </c>
      <c r="O71" s="1314" t="s">
        <v>663</v>
      </c>
      <c r="P71" s="501"/>
      <c r="Q71" s="460"/>
      <c r="R71" s="460"/>
      <c r="S71" s="460"/>
    </row>
    <row r="72" spans="1:19">
      <c r="A72" s="460"/>
      <c r="B72" s="702">
        <v>390</v>
      </c>
      <c r="C72" s="673" t="s">
        <v>596</v>
      </c>
      <c r="D72" s="673"/>
      <c r="E72" s="1317">
        <f>Data!C145</f>
        <v>2.9000000000000001E-2</v>
      </c>
      <c r="F72" s="738"/>
      <c r="G72" s="1321">
        <f>ROUND((Attach11!D73+Attach11!G73+0.5*(Attach11!E73-Attach11!F73)),0)</f>
        <v>10499294</v>
      </c>
      <c r="H72" s="1288">
        <f>ROUND(E72*G72,0)</f>
        <v>304480</v>
      </c>
      <c r="I72" s="1290"/>
      <c r="J72" s="1322">
        <v>2.9000000000000001E-2</v>
      </c>
      <c r="K72" s="1323">
        <f>Attach11!I73</f>
        <v>0</v>
      </c>
      <c r="L72" s="1321">
        <f>Attach11!N73-Attach11!I73</f>
        <v>10632618</v>
      </c>
      <c r="M72" s="1288">
        <f>ROUND(J72*K72,0)</f>
        <v>0</v>
      </c>
      <c r="N72" s="1288">
        <f>ROUND(J72*L72,0)</f>
        <v>308346</v>
      </c>
      <c r="O72" s="1314">
        <f>M72+N72</f>
        <v>308346</v>
      </c>
      <c r="P72" s="501"/>
      <c r="Q72" s="460"/>
      <c r="R72" s="460"/>
      <c r="S72" s="460"/>
    </row>
    <row r="73" spans="1:19">
      <c r="A73" s="460"/>
      <c r="B73" s="702">
        <v>391</v>
      </c>
      <c r="C73" s="673" t="s">
        <v>622</v>
      </c>
      <c r="D73" s="673"/>
      <c r="E73" s="1317">
        <f>Data!C146</f>
        <v>5.8000000000000003E-2</v>
      </c>
      <c r="F73" s="738"/>
      <c r="G73" s="1321">
        <f>ROUND((Attach11!D74+Attach11!G74+0.5*(Attach11!E74-Attach11!F74)),0)</f>
        <v>409636</v>
      </c>
      <c r="H73" s="1289">
        <f>ROUND(E73*G73,0)</f>
        <v>23759</v>
      </c>
      <c r="I73" s="1290"/>
      <c r="J73" s="1322">
        <v>5.8000000000000003E-2</v>
      </c>
      <c r="K73" s="1319">
        <f>Attach11!I74</f>
        <v>0</v>
      </c>
      <c r="L73" s="1324">
        <f>Attach11!N74-Attach11!I74</f>
        <v>409636</v>
      </c>
      <c r="M73" s="1289">
        <f>ROUND(J73*K73,0)</f>
        <v>0</v>
      </c>
      <c r="N73" s="1289">
        <f>ROUND(J73*L73,0)</f>
        <v>23759</v>
      </c>
      <c r="O73" s="1035">
        <f>M73+N73</f>
        <v>23759</v>
      </c>
      <c r="P73" s="501"/>
      <c r="Q73" s="460"/>
      <c r="R73" s="460"/>
      <c r="S73" s="460"/>
    </row>
    <row r="74" spans="1:19">
      <c r="A74" s="460"/>
      <c r="B74" s="702">
        <v>391.1</v>
      </c>
      <c r="C74" s="673" t="s">
        <v>623</v>
      </c>
      <c r="D74" s="673"/>
      <c r="E74" s="1317">
        <f>Data!C147</f>
        <v>0.26700000000000002</v>
      </c>
      <c r="F74" s="738"/>
      <c r="G74" s="1321">
        <f>ROUND((Attach11!D75+Attach11!G75+0.5*(Attach11!E75-Attach11!F75)),0)</f>
        <v>1316789</v>
      </c>
      <c r="H74" s="1289">
        <f t="shared" ref="H74:H82" si="8">ROUND(E74*G74,0)</f>
        <v>351583</v>
      </c>
      <c r="I74" s="1290"/>
      <c r="J74" s="1322">
        <v>0.26700000000000002</v>
      </c>
      <c r="K74" s="1319">
        <f>Attach11!I75</f>
        <v>0</v>
      </c>
      <c r="L74" s="1324">
        <f>Attach11!N75-Attach11!I75</f>
        <v>1316789</v>
      </c>
      <c r="M74" s="1289">
        <f>ROUND(J74*K74,0)</f>
        <v>0</v>
      </c>
      <c r="N74" s="1289">
        <f>ROUND(J74*L74,0)</f>
        <v>351583</v>
      </c>
      <c r="O74" s="1035">
        <f>M74+N74</f>
        <v>351583</v>
      </c>
      <c r="P74" s="501"/>
      <c r="Q74" s="460"/>
      <c r="R74" s="460"/>
      <c r="S74" s="460"/>
    </row>
    <row r="75" spans="1:19">
      <c r="A75" s="460"/>
      <c r="B75" s="702">
        <v>392</v>
      </c>
      <c r="C75" s="673" t="s">
        <v>624</v>
      </c>
      <c r="D75" s="673"/>
      <c r="E75" s="1317">
        <f>Data!C148</f>
        <v>0.12</v>
      </c>
      <c r="F75" s="738"/>
      <c r="G75" s="1321">
        <f>ROUND((Attach11!D76+Attach11!G76+0.5*(Attach11!E76-Attach11!F76)),0)</f>
        <v>3294855</v>
      </c>
      <c r="H75" s="1289">
        <f t="shared" si="8"/>
        <v>395383</v>
      </c>
      <c r="I75" s="1290"/>
      <c r="J75" s="1322">
        <v>0.13300000000000001</v>
      </c>
      <c r="K75" s="1319">
        <f>Attach11!I76</f>
        <v>0</v>
      </c>
      <c r="L75" s="1324">
        <f>Attach11!N76-Attach11!I76</f>
        <v>3397421</v>
      </c>
      <c r="M75" s="1289">
        <f t="shared" ref="M75:M82" si="9">ROUND(J75*K75,0)</f>
        <v>0</v>
      </c>
      <c r="N75" s="1289">
        <f t="shared" ref="N75:N82" si="10">ROUND(J75*L75,0)</f>
        <v>451857</v>
      </c>
      <c r="O75" s="1035">
        <f t="shared" ref="O75:O82" si="11">M75+N75</f>
        <v>451857</v>
      </c>
      <c r="P75" s="501"/>
      <c r="Q75" s="460"/>
      <c r="R75" s="460"/>
      <c r="S75" s="460"/>
    </row>
    <row r="76" spans="1:19">
      <c r="A76" s="460"/>
      <c r="B76" s="702">
        <v>393</v>
      </c>
      <c r="C76" s="673" t="s">
        <v>625</v>
      </c>
      <c r="D76" s="673"/>
      <c r="E76" s="1317">
        <f>Data!C149</f>
        <v>5.8000000000000003E-2</v>
      </c>
      <c r="F76" s="738"/>
      <c r="G76" s="1321">
        <f>ROUND((Attach11!D77+Attach11!G77+0.5*(Attach11!E77-Attach11!F77)),0)</f>
        <v>47255</v>
      </c>
      <c r="H76" s="1289">
        <v>0</v>
      </c>
      <c r="I76" s="1290"/>
      <c r="J76" s="1322">
        <v>5.8000000000000003E-2</v>
      </c>
      <c r="K76" s="1319">
        <f>Attach11!I77</f>
        <v>0</v>
      </c>
      <c r="L76" s="1324">
        <f>Attach11!N77-Attach11!I77</f>
        <v>47255</v>
      </c>
      <c r="M76" s="1289">
        <f t="shared" si="9"/>
        <v>0</v>
      </c>
      <c r="N76" s="1289">
        <v>0</v>
      </c>
      <c r="O76" s="1035">
        <f t="shared" si="11"/>
        <v>0</v>
      </c>
      <c r="P76" s="501"/>
      <c r="Q76" s="460"/>
      <c r="R76" s="460"/>
      <c r="S76" s="460"/>
    </row>
    <row r="77" spans="1:19">
      <c r="A77" s="460"/>
      <c r="B77" s="702">
        <v>394</v>
      </c>
      <c r="C77" s="673" t="s">
        <v>626</v>
      </c>
      <c r="D77" s="673"/>
      <c r="E77" s="1317">
        <f>Data!C150</f>
        <v>5.8000000000000003E-2</v>
      </c>
      <c r="F77" s="738"/>
      <c r="G77" s="1321">
        <f>ROUND((Attach11!D78+Attach11!G78+0.5*(Attach11!E78-Attach11!F78)),0)</f>
        <v>1075760</v>
      </c>
      <c r="H77" s="1289">
        <f t="shared" si="8"/>
        <v>62394</v>
      </c>
      <c r="I77" s="1290"/>
      <c r="J77" s="1322">
        <v>5.8000000000000003E-2</v>
      </c>
      <c r="K77" s="1319">
        <f>Attach11!I78</f>
        <v>0</v>
      </c>
      <c r="L77" s="1324">
        <f>Attach11!N78-Attach11!I78</f>
        <v>1075760</v>
      </c>
      <c r="M77" s="1289">
        <f t="shared" si="9"/>
        <v>0</v>
      </c>
      <c r="N77" s="1289">
        <f t="shared" si="10"/>
        <v>62394</v>
      </c>
      <c r="O77" s="1035">
        <f t="shared" si="11"/>
        <v>62394</v>
      </c>
      <c r="P77" s="501"/>
      <c r="Q77" s="460"/>
      <c r="R77" s="460"/>
      <c r="S77" s="460"/>
    </row>
    <row r="78" spans="1:19">
      <c r="A78" s="460"/>
      <c r="B78" s="702">
        <v>395</v>
      </c>
      <c r="C78" s="673" t="s">
        <v>627</v>
      </c>
      <c r="D78" s="673"/>
      <c r="E78" s="1317">
        <f>Data!C151</f>
        <v>5.8000000000000003E-2</v>
      </c>
      <c r="F78" s="738"/>
      <c r="G78" s="1321">
        <f>ROUND((Attach11!D79+Attach11!G79+0.5*(Attach11!E79-Attach11!F79)),0)</f>
        <v>9200</v>
      </c>
      <c r="H78" s="1289">
        <v>0</v>
      </c>
      <c r="I78" s="1290"/>
      <c r="J78" s="1322">
        <v>5.8000000000000003E-2</v>
      </c>
      <c r="K78" s="1319">
        <f>Attach11!I79</f>
        <v>0</v>
      </c>
      <c r="L78" s="1324">
        <f>Attach11!N79-Attach11!I79</f>
        <v>9200</v>
      </c>
      <c r="M78" s="1289">
        <f t="shared" si="9"/>
        <v>0</v>
      </c>
      <c r="N78" s="1289">
        <v>0</v>
      </c>
      <c r="O78" s="1035">
        <f t="shared" si="11"/>
        <v>0</v>
      </c>
      <c r="P78" s="501"/>
      <c r="Q78" s="460"/>
      <c r="R78" s="460"/>
      <c r="S78" s="460"/>
    </row>
    <row r="79" spans="1:19">
      <c r="A79" s="460"/>
      <c r="B79" s="702">
        <v>396</v>
      </c>
      <c r="C79" s="673" t="s">
        <v>628</v>
      </c>
      <c r="D79" s="673"/>
      <c r="E79" s="1317">
        <v>7.4999999999999997E-2</v>
      </c>
      <c r="F79" s="738"/>
      <c r="G79" s="1321">
        <f>ROUND((Attach11!D80+Attach11!G80+0.5*(Attach11!E80-Attach11!F80)),0)</f>
        <v>1357708</v>
      </c>
      <c r="H79" s="1289">
        <f t="shared" si="8"/>
        <v>101828</v>
      </c>
      <c r="I79" s="1290"/>
      <c r="J79" s="1322">
        <v>7.4999999999999997E-2</v>
      </c>
      <c r="K79" s="1319">
        <f>Attach11!I80</f>
        <v>0</v>
      </c>
      <c r="L79" s="1324">
        <f>Attach11!N80-Attach11!I80</f>
        <v>1357708</v>
      </c>
      <c r="M79" s="1289">
        <f t="shared" si="9"/>
        <v>0</v>
      </c>
      <c r="N79" s="1289">
        <f t="shared" si="10"/>
        <v>101828</v>
      </c>
      <c r="O79" s="1035">
        <f t="shared" si="11"/>
        <v>101828</v>
      </c>
      <c r="P79" s="501"/>
      <c r="Q79" s="460"/>
      <c r="R79" s="460"/>
      <c r="S79" s="460"/>
    </row>
    <row r="80" spans="1:19">
      <c r="A80" s="460"/>
      <c r="B80" s="702">
        <v>397</v>
      </c>
      <c r="C80" s="673" t="s">
        <v>629</v>
      </c>
      <c r="D80" s="673"/>
      <c r="E80" s="1317">
        <f>Data!C153</f>
        <v>9.1999999999999998E-2</v>
      </c>
      <c r="F80" s="738"/>
      <c r="G80" s="1321">
        <f>ROUND((Attach11!D81+Attach11!G81+0.5*(Attach11!E81-Attach11!F81)),0)</f>
        <v>187936</v>
      </c>
      <c r="H80" s="1289">
        <f>Attach11!E81/2*E80</f>
        <v>692.94399999999996</v>
      </c>
      <c r="I80" s="1290"/>
      <c r="J80" s="1322">
        <v>9.1999999999999998E-2</v>
      </c>
      <c r="K80" s="1319">
        <f>Attach11!I81</f>
        <v>0</v>
      </c>
      <c r="L80" s="1324">
        <f>Attach11!N81-Attach11!I81</f>
        <v>208097</v>
      </c>
      <c r="M80" s="1289">
        <f t="shared" si="9"/>
        <v>0</v>
      </c>
      <c r="N80" s="1289">
        <f>(Attach11!E81+Attach11!K81/2)*J80</f>
        <v>2547.7559999999999</v>
      </c>
      <c r="O80" s="1035">
        <f t="shared" si="11"/>
        <v>2547.7559999999999</v>
      </c>
      <c r="P80" s="501"/>
      <c r="Q80" s="460"/>
      <c r="R80" s="460"/>
      <c r="S80" s="460"/>
    </row>
    <row r="81" spans="1:19">
      <c r="A81" s="460"/>
      <c r="B81" s="702">
        <v>397.1</v>
      </c>
      <c r="C81" s="673" t="s">
        <v>630</v>
      </c>
      <c r="D81" s="673"/>
      <c r="E81" s="1317">
        <f>Data!C154</f>
        <v>9.1999999999999998E-2</v>
      </c>
      <c r="F81" s="738"/>
      <c r="G81" s="1321">
        <f>ROUND((Attach11!D82+Attach11!G82+0.5*(Attach11!E82-Attach11!F82)),0)</f>
        <v>1482956</v>
      </c>
      <c r="H81" s="1289">
        <f t="shared" si="8"/>
        <v>136432</v>
      </c>
      <c r="I81" s="1290"/>
      <c r="J81" s="1322">
        <v>9.1999999999999998E-2</v>
      </c>
      <c r="K81" s="1319">
        <f>Attach11!I82</f>
        <v>0</v>
      </c>
      <c r="L81" s="1324">
        <f>Attach11!N82-Attach11!I82</f>
        <v>1506506</v>
      </c>
      <c r="M81" s="1289">
        <f t="shared" si="9"/>
        <v>0</v>
      </c>
      <c r="N81" s="1289">
        <f t="shared" si="10"/>
        <v>138599</v>
      </c>
      <c r="O81" s="1035">
        <f t="shared" si="11"/>
        <v>138599</v>
      </c>
      <c r="P81" s="501"/>
      <c r="Q81" s="460"/>
      <c r="R81" s="460"/>
      <c r="S81" s="460"/>
    </row>
    <row r="82" spans="1:19">
      <c r="A82" s="460"/>
      <c r="B82" s="702">
        <v>398</v>
      </c>
      <c r="C82" s="673" t="s">
        <v>631</v>
      </c>
      <c r="D82" s="673"/>
      <c r="E82" s="1317">
        <f>Data!C155</f>
        <v>0</v>
      </c>
      <c r="F82" s="738"/>
      <c r="G82" s="1321">
        <f>ROUND((Attach11!D83+Attach11!G83+0.5*(Attach11!E83-Attach11!F83)),0)</f>
        <v>0</v>
      </c>
      <c r="H82" s="1289">
        <f t="shared" si="8"/>
        <v>0</v>
      </c>
      <c r="I82" s="1290"/>
      <c r="J82" s="1322">
        <v>5.8000000000000003E-2</v>
      </c>
      <c r="K82" s="1319">
        <f>Attach11!I83</f>
        <v>0</v>
      </c>
      <c r="L82" s="1324">
        <f>Attach11!N83-Attach11!I83</f>
        <v>0</v>
      </c>
      <c r="M82" s="1289">
        <f t="shared" si="9"/>
        <v>0</v>
      </c>
      <c r="N82" s="1289">
        <f t="shared" si="10"/>
        <v>0</v>
      </c>
      <c r="O82" s="1035">
        <f t="shared" si="11"/>
        <v>0</v>
      </c>
      <c r="P82" s="501"/>
      <c r="Q82" s="460"/>
      <c r="R82" s="460"/>
      <c r="S82" s="460"/>
    </row>
    <row r="83" spans="1:19" ht="9.75" customHeight="1">
      <c r="A83" s="460"/>
      <c r="B83" s="702"/>
      <c r="C83" s="673"/>
      <c r="D83" s="673"/>
      <c r="E83" s="920"/>
      <c r="F83" s="738"/>
      <c r="G83" s="738"/>
      <c r="H83" s="1302"/>
      <c r="I83" s="1290"/>
      <c r="J83" s="1291"/>
      <c r="K83" s="676"/>
      <c r="L83" s="738"/>
      <c r="M83" s="738"/>
      <c r="N83" s="738"/>
      <c r="O83" s="1302"/>
      <c r="P83" s="501"/>
      <c r="Q83" s="460"/>
      <c r="R83" s="460"/>
      <c r="S83" s="460"/>
    </row>
    <row r="84" spans="1:19">
      <c r="A84" s="460"/>
      <c r="B84" s="700"/>
      <c r="C84" s="673" t="s">
        <v>632</v>
      </c>
      <c r="D84" s="673"/>
      <c r="E84" s="738"/>
      <c r="F84" s="738"/>
      <c r="G84" s="738"/>
      <c r="H84" s="1292">
        <f>SUM(H71:H82)</f>
        <v>1376551.9439999999</v>
      </c>
      <c r="I84" s="1290"/>
      <c r="J84" s="1294"/>
      <c r="K84" s="1295"/>
      <c r="L84" s="1296"/>
      <c r="M84" s="673"/>
      <c r="N84" s="673"/>
      <c r="O84" s="1292">
        <f>SUM(O71:O82)</f>
        <v>1440913.7560000001</v>
      </c>
      <c r="P84" s="501"/>
      <c r="Q84" s="460"/>
      <c r="R84" s="460"/>
      <c r="S84" s="460"/>
    </row>
    <row r="85" spans="1:19" ht="9.75" customHeight="1">
      <c r="A85" s="460"/>
      <c r="B85" s="700"/>
      <c r="C85" s="673"/>
      <c r="D85" s="673"/>
      <c r="E85" s="676" t="s">
        <v>593</v>
      </c>
      <c r="F85" s="676"/>
      <c r="G85" s="673" t="s">
        <v>593</v>
      </c>
      <c r="H85" s="1290" t="s">
        <v>593</v>
      </c>
      <c r="I85" s="1290"/>
      <c r="J85" s="1294"/>
      <c r="K85" s="1325"/>
      <c r="L85" s="1268"/>
      <c r="M85" s="1268"/>
      <c r="N85" s="738"/>
      <c r="O85" s="1247" t="s">
        <v>593</v>
      </c>
      <c r="P85" s="501"/>
      <c r="Q85" s="460"/>
      <c r="R85" s="460"/>
      <c r="S85" s="460"/>
    </row>
    <row r="86" spans="1:19" ht="13.5" thickBot="1">
      <c r="A86" s="460"/>
      <c r="B86" s="700"/>
      <c r="C86" s="673" t="s">
        <v>253</v>
      </c>
      <c r="D86" s="673"/>
      <c r="E86" s="738"/>
      <c r="F86" s="738"/>
      <c r="G86" s="739">
        <f>SUM(G16:G42)+SUM(G58:G82)</f>
        <v>188172426</v>
      </c>
      <c r="H86" s="1297">
        <f>IF($O$6&lt;=0,SUM(H26+H36+H45+H67+H84),ROUND((G86*$O$6/100),0))</f>
        <v>5294711.9440000001</v>
      </c>
      <c r="I86" s="673"/>
      <c r="J86" s="1294"/>
      <c r="K86" s="739">
        <f>SUM(K15:K45)+SUM(K58:K82)</f>
        <v>4248000</v>
      </c>
      <c r="L86" s="739">
        <f>SUM(L15:L45)+SUM(L58:L82)</f>
        <v>207189020</v>
      </c>
      <c r="M86" s="739">
        <f>SUM(M15:M45)+SUM(M58:M82)</f>
        <v>130182</v>
      </c>
      <c r="N86" s="739">
        <f>SUM(N15:N45)+SUM(N58:N82)</f>
        <v>5782506.7560000001</v>
      </c>
      <c r="O86" s="1297">
        <f>SUM(O26+O36+O45+O67+O84)</f>
        <v>5912688.7560000001</v>
      </c>
      <c r="P86" s="501"/>
      <c r="Q86" s="460"/>
      <c r="R86" s="460"/>
      <c r="S86" s="460"/>
    </row>
    <row r="87" spans="1:19" ht="9.75" customHeight="1" thickTop="1">
      <c r="A87" s="460"/>
      <c r="B87" s="700"/>
      <c r="C87" s="673"/>
      <c r="D87" s="673"/>
      <c r="E87" s="738"/>
      <c r="F87" s="738"/>
      <c r="G87" s="738"/>
      <c r="H87" s="673"/>
      <c r="I87" s="673"/>
      <c r="J87" s="1294"/>
      <c r="K87" s="1295"/>
      <c r="L87" s="1296"/>
      <c r="M87" s="1296"/>
      <c r="N87" s="738"/>
      <c r="O87" s="1314"/>
      <c r="P87" s="501"/>
      <c r="Q87" s="460"/>
      <c r="R87" s="460"/>
      <c r="S87" s="460"/>
    </row>
    <row r="88" spans="1:19">
      <c r="A88" s="460"/>
      <c r="B88" s="700"/>
      <c r="C88" s="1340" t="str">
        <f>IF((H88+O88)&lt;&gt;0,"Miscellaneous Credits (Charges) to Accrual (See Notes--Attachment 18)","Miscellaneous Credits (Charges) to Accrual")</f>
        <v>Miscellaneous Credits (Charges) to Accrual</v>
      </c>
      <c r="D88" s="1298"/>
      <c r="E88" s="738"/>
      <c r="F88" s="738"/>
      <c r="G88" s="673"/>
      <c r="H88" s="1299">
        <v>0</v>
      </c>
      <c r="I88" s="1290"/>
      <c r="J88" s="1291"/>
      <c r="K88" s="676"/>
      <c r="L88" s="738"/>
      <c r="M88" s="738"/>
      <c r="N88" s="1339" t="str">
        <f>IF(O88&lt;&gt;0,"See Notes--Attachment 18 ","Miscellaneous Credits (Charges) to Accrual ")</f>
        <v xml:space="preserve">Miscellaneous Credits (Charges) to Accrual </v>
      </c>
      <c r="O88" s="1292">
        <v>0</v>
      </c>
      <c r="P88" s="501"/>
      <c r="Q88" s="460"/>
      <c r="R88" s="460"/>
      <c r="S88" s="460"/>
    </row>
    <row r="89" spans="1:19" ht="9.75" customHeight="1">
      <c r="A89" s="460"/>
      <c r="B89" s="700"/>
      <c r="C89" s="673"/>
      <c r="D89" s="673"/>
      <c r="E89" s="738"/>
      <c r="F89" s="738"/>
      <c r="G89" s="738"/>
      <c r="H89" s="1290"/>
      <c r="I89" s="1290"/>
      <c r="J89" s="1291"/>
      <c r="K89" s="676"/>
      <c r="L89" s="738"/>
      <c r="M89" s="738"/>
      <c r="N89" s="738"/>
      <c r="O89" s="1314"/>
      <c r="P89" s="501"/>
      <c r="Q89" s="460"/>
      <c r="R89" s="460"/>
      <c r="S89" s="460"/>
    </row>
    <row r="90" spans="1:19" ht="16.5" customHeight="1" thickBot="1">
      <c r="A90" s="460"/>
      <c r="B90" s="730" t="s">
        <v>664</v>
      </c>
      <c r="C90" s="673"/>
      <c r="D90" s="673"/>
      <c r="E90" s="673"/>
      <c r="F90" s="673"/>
      <c r="G90" s="1247" t="str">
        <f>IF($O$6&lt;=0,"(To Attachment 13)==&gt;","Note 1: (To Attachment 13)==&gt;")</f>
        <v>(To Attachment 13)==&gt;</v>
      </c>
      <c r="H90" s="1297">
        <f>SUM(H86:H88)</f>
        <v>5294711.9440000001</v>
      </c>
      <c r="I90" s="1302"/>
      <c r="J90" s="865"/>
      <c r="K90" s="674"/>
      <c r="L90" s="719"/>
      <c r="M90" s="719"/>
      <c r="N90" s="1247" t="str">
        <f>IF($O$6&lt;=0,"(To Attachment 13)==&gt;","Note 2: (To Attachment 13)==&gt;")</f>
        <v>(To Attachment 13)==&gt;</v>
      </c>
      <c r="O90" s="1297">
        <f>ROUND(SUM(O86:O88),0)</f>
        <v>5912689</v>
      </c>
      <c r="P90" s="501"/>
      <c r="Q90" s="460"/>
      <c r="R90" s="460"/>
      <c r="S90" s="460"/>
    </row>
    <row r="91" spans="1:19" ht="13.5" thickBot="1">
      <c r="A91" s="460"/>
      <c r="B91" s="730" t="s">
        <v>665</v>
      </c>
      <c r="C91" s="673"/>
      <c r="D91" s="1307">
        <v>50</v>
      </c>
      <c r="E91" s="673" t="s">
        <v>666</v>
      </c>
      <c r="F91" s="673"/>
      <c r="G91" s="719"/>
      <c r="H91" s="1289">
        <f>ROUND(-H63*D91/100,0)</f>
        <v>-459928</v>
      </c>
      <c r="I91" s="1302"/>
      <c r="J91" s="865"/>
      <c r="K91" s="1308">
        <f>D91</f>
        <v>50</v>
      </c>
      <c r="L91" s="719" t="s">
        <v>667</v>
      </c>
      <c r="M91" s="719"/>
      <c r="N91" s="719"/>
      <c r="O91" s="1289">
        <f>-ROUND(O63*K91/100,0)</f>
        <v>-462676</v>
      </c>
      <c r="P91" s="501"/>
      <c r="Q91" s="460"/>
      <c r="R91" s="460"/>
      <c r="S91" s="460"/>
    </row>
    <row r="92" spans="1:19">
      <c r="A92" s="460"/>
      <c r="B92" s="1077" t="s">
        <v>668</v>
      </c>
      <c r="C92" s="673"/>
      <c r="D92" s="673"/>
      <c r="E92" s="1237"/>
      <c r="F92" s="673"/>
      <c r="G92" s="719"/>
      <c r="H92" s="1844">
        <f>-SUM(H75,H77,H79)</f>
        <v>-559605</v>
      </c>
      <c r="I92" s="1302"/>
      <c r="J92" s="865"/>
      <c r="K92" s="674"/>
      <c r="L92" s="719"/>
      <c r="M92" s="719"/>
      <c r="N92" s="719"/>
      <c r="O92" s="1844">
        <f>-SUM(O75,O77,O79)</f>
        <v>-616079</v>
      </c>
      <c r="P92" s="501"/>
      <c r="Q92" s="460"/>
      <c r="R92" s="460"/>
      <c r="S92" s="460"/>
    </row>
    <row r="93" spans="1:19">
      <c r="A93" s="460"/>
      <c r="B93" s="730" t="s">
        <v>669</v>
      </c>
      <c r="C93" s="673"/>
      <c r="D93" s="673"/>
      <c r="E93" s="673"/>
      <c r="F93" s="673"/>
      <c r="G93" s="719"/>
      <c r="H93" s="1490">
        <v>0</v>
      </c>
      <c r="I93" s="1302"/>
      <c r="J93" s="865"/>
      <c r="K93" s="674"/>
      <c r="L93" s="719"/>
      <c r="M93" s="719"/>
      <c r="N93" s="719"/>
      <c r="O93" s="1490">
        <v>0</v>
      </c>
      <c r="P93" s="501"/>
      <c r="Q93" s="460"/>
      <c r="R93" s="460"/>
      <c r="S93" s="460"/>
    </row>
    <row r="94" spans="1:19">
      <c r="A94" s="460"/>
      <c r="B94" s="730" t="s">
        <v>669</v>
      </c>
      <c r="C94" s="673"/>
      <c r="D94" s="673"/>
      <c r="E94" s="673"/>
      <c r="F94" s="673"/>
      <c r="G94" s="673"/>
      <c r="H94" s="1491">
        <v>0</v>
      </c>
      <c r="I94" s="1290"/>
      <c r="J94" s="735"/>
      <c r="K94" s="676"/>
      <c r="L94" s="673"/>
      <c r="M94" s="673"/>
      <c r="N94" s="673"/>
      <c r="O94" s="1491">
        <v>0</v>
      </c>
      <c r="P94" s="501"/>
      <c r="Q94" s="460"/>
      <c r="R94" s="460"/>
      <c r="S94" s="460"/>
    </row>
    <row r="95" spans="1:19">
      <c r="A95" s="460"/>
      <c r="B95" s="700"/>
      <c r="C95" s="673"/>
      <c r="D95" s="673"/>
      <c r="E95" s="673"/>
      <c r="F95" s="673"/>
      <c r="G95" s="673"/>
      <c r="H95" s="1334"/>
      <c r="I95" s="1290"/>
      <c r="J95" s="735"/>
      <c r="K95" s="676"/>
      <c r="L95" s="673"/>
      <c r="M95" s="673"/>
      <c r="N95" s="673"/>
      <c r="O95" s="1334"/>
      <c r="P95" s="501"/>
      <c r="Q95" s="460"/>
      <c r="R95" s="460"/>
      <c r="S95" s="460"/>
    </row>
    <row r="96" spans="1:19" ht="13.5" thickBot="1">
      <c r="A96" s="460"/>
      <c r="B96" s="700"/>
      <c r="C96" s="673" t="s">
        <v>670</v>
      </c>
      <c r="D96" s="673"/>
      <c r="E96" s="673"/>
      <c r="F96" s="673"/>
      <c r="G96" s="673"/>
      <c r="H96" s="1300">
        <f>SUM(H90:H94)</f>
        <v>4275178.9440000001</v>
      </c>
      <c r="I96" s="1290"/>
      <c r="J96" s="735"/>
      <c r="K96" s="676"/>
      <c r="L96" s="673"/>
      <c r="M96" s="673"/>
      <c r="N96" s="1240" t="s">
        <v>671</v>
      </c>
      <c r="O96" s="1300">
        <f>ROUND(SUM(O90:O94),0)</f>
        <v>4833934</v>
      </c>
      <c r="P96" s="501"/>
      <c r="Q96" s="460"/>
      <c r="R96" s="460"/>
      <c r="S96" s="460"/>
    </row>
    <row r="97" spans="1:19" ht="13.5" thickTop="1">
      <c r="A97" s="460"/>
      <c r="B97" s="700"/>
      <c r="C97" s="673"/>
      <c r="D97" s="673"/>
      <c r="E97" s="673"/>
      <c r="F97" s="673"/>
      <c r="G97" s="673"/>
      <c r="H97" s="1290"/>
      <c r="I97" s="1290"/>
      <c r="J97" s="735"/>
      <c r="K97" s="676"/>
      <c r="L97" s="673"/>
      <c r="M97" s="673"/>
      <c r="N97" s="1240"/>
      <c r="O97" s="1290"/>
      <c r="P97" s="501"/>
      <c r="Q97" s="460"/>
      <c r="R97" s="460"/>
      <c r="S97" s="460"/>
    </row>
    <row r="98" spans="1:19">
      <c r="A98" s="460"/>
      <c r="B98" s="1227"/>
      <c r="C98" s="344"/>
      <c r="D98" s="344"/>
      <c r="E98" s="344"/>
      <c r="F98" s="344"/>
      <c r="G98" s="731"/>
      <c r="H98" s="1267"/>
      <c r="I98" s="1267"/>
      <c r="J98" s="1230"/>
      <c r="K98" s="1228"/>
      <c r="L98" s="731"/>
      <c r="M98" s="731"/>
      <c r="N98" s="344"/>
      <c r="O98" s="1229"/>
      <c r="P98" s="501"/>
      <c r="Q98" s="460"/>
      <c r="R98" s="460"/>
      <c r="S98" s="460"/>
    </row>
    <row r="99" spans="1:19">
      <c r="A99" s="460"/>
      <c r="B99" s="1227"/>
      <c r="C99" s="344"/>
      <c r="D99" s="344"/>
      <c r="E99" s="344"/>
      <c r="F99" s="344"/>
      <c r="G99" s="731"/>
      <c r="H99" s="1267"/>
      <c r="I99" s="1267"/>
      <c r="J99" s="1230"/>
      <c r="K99" s="1228"/>
      <c r="L99" s="731"/>
      <c r="M99" s="731"/>
      <c r="N99" s="344"/>
      <c r="O99" s="1229"/>
      <c r="P99" s="501"/>
      <c r="Q99" s="460"/>
      <c r="R99" s="460"/>
      <c r="S99" s="460"/>
    </row>
    <row r="100" spans="1:19">
      <c r="A100" s="460"/>
      <c r="B100" s="1227"/>
      <c r="C100" s="344"/>
      <c r="D100" s="344"/>
      <c r="E100" s="344"/>
      <c r="F100" s="344"/>
      <c r="G100" s="731"/>
      <c r="H100" s="1267"/>
      <c r="I100" s="1267"/>
      <c r="J100" s="1230"/>
      <c r="K100" s="1228"/>
      <c r="L100" s="731"/>
      <c r="M100" s="731"/>
      <c r="N100" s="344"/>
      <c r="O100" s="1229"/>
      <c r="P100" s="501"/>
      <c r="Q100" s="460"/>
      <c r="R100" s="460"/>
      <c r="S100" s="460"/>
    </row>
    <row r="101" spans="1:19">
      <c r="A101" s="460"/>
      <c r="B101" s="1227"/>
      <c r="C101" s="344"/>
      <c r="D101" s="344"/>
      <c r="E101" s="344"/>
      <c r="F101" s="344"/>
      <c r="G101" s="731"/>
      <c r="H101" s="1267"/>
      <c r="I101" s="1267"/>
      <c r="J101" s="1230"/>
      <c r="K101" s="1228"/>
      <c r="L101" s="731"/>
      <c r="M101" s="731"/>
      <c r="N101" s="344"/>
      <c r="O101" s="1229"/>
      <c r="P101" s="501"/>
      <c r="Q101" s="460"/>
      <c r="R101" s="460"/>
      <c r="S101" s="460"/>
    </row>
    <row r="102" spans="1:19" ht="13.5" thickBot="1">
      <c r="A102" s="460"/>
      <c r="B102" s="846"/>
      <c r="C102" s="385"/>
      <c r="D102" s="385"/>
      <c r="E102" s="385"/>
      <c r="F102" s="385"/>
      <c r="G102" s="818"/>
      <c r="H102" s="1327"/>
      <c r="I102" s="1327"/>
      <c r="J102" s="1335"/>
      <c r="K102" s="1336"/>
      <c r="L102" s="818"/>
      <c r="M102" s="818"/>
      <c r="N102" s="385"/>
      <c r="O102" s="949"/>
      <c r="P102" s="508"/>
      <c r="Q102" s="460"/>
      <c r="R102" s="460"/>
      <c r="S102" s="460"/>
    </row>
    <row r="103" spans="1:19" ht="13.5" thickTop="1">
      <c r="A103" s="460"/>
      <c r="B103" s="661"/>
      <c r="C103" s="185"/>
      <c r="D103" s="185"/>
      <c r="E103" s="185"/>
      <c r="F103" s="185"/>
      <c r="G103" s="186"/>
      <c r="H103" s="1264"/>
      <c r="I103" s="1264"/>
      <c r="J103" s="899"/>
      <c r="K103" s="311"/>
      <c r="L103" s="316"/>
      <c r="M103" s="316"/>
      <c r="N103" s="185"/>
      <c r="O103" s="659"/>
      <c r="P103" s="460"/>
      <c r="Q103" s="460"/>
      <c r="R103" s="460"/>
      <c r="S103" s="460"/>
    </row>
    <row r="104" spans="1:19">
      <c r="A104" s="460"/>
      <c r="B104" s="661"/>
      <c r="C104" s="185"/>
      <c r="D104" s="185"/>
      <c r="E104" s="185"/>
      <c r="F104" s="185"/>
      <c r="G104" s="186"/>
      <c r="H104" s="1264"/>
      <c r="I104" s="1264"/>
      <c r="J104" s="899"/>
      <c r="K104" s="311"/>
      <c r="L104" s="316"/>
      <c r="M104" s="316"/>
      <c r="N104" s="185"/>
      <c r="O104" s="659"/>
      <c r="P104" s="460"/>
      <c r="Q104" s="460"/>
      <c r="R104" s="460"/>
      <c r="S104" s="460"/>
    </row>
    <row r="105" spans="1:19">
      <c r="A105" s="460"/>
      <c r="B105" s="661"/>
      <c r="C105" s="185"/>
      <c r="D105" s="185"/>
      <c r="E105" s="185"/>
      <c r="F105" s="185"/>
      <c r="G105" s="186"/>
      <c r="H105" s="1264"/>
      <c r="I105" s="1264"/>
      <c r="J105" s="899"/>
      <c r="K105" s="311"/>
      <c r="L105" s="316"/>
      <c r="M105" s="316"/>
      <c r="N105" s="185"/>
      <c r="O105" s="659"/>
      <c r="P105" s="460"/>
      <c r="Q105" s="460"/>
      <c r="R105" s="460"/>
      <c r="S105" s="460"/>
    </row>
    <row r="106" spans="1:19">
      <c r="A106" s="460"/>
      <c r="B106" s="661"/>
      <c r="C106" s="185"/>
      <c r="D106" s="185"/>
      <c r="E106" s="185"/>
      <c r="F106" s="185"/>
      <c r="G106" s="186"/>
      <c r="H106" s="1264"/>
      <c r="I106" s="1264"/>
      <c r="J106" s="899"/>
      <c r="K106" s="311"/>
      <c r="L106" s="316"/>
      <c r="M106" s="316"/>
      <c r="N106" s="185"/>
      <c r="O106" s="659"/>
      <c r="P106" s="460"/>
      <c r="Q106" s="460"/>
      <c r="R106" s="460"/>
      <c r="S106" s="460"/>
    </row>
    <row r="107" spans="1:19">
      <c r="A107" s="460"/>
      <c r="B107" s="661"/>
      <c r="C107" s="185"/>
      <c r="D107" s="185"/>
      <c r="E107" s="185"/>
      <c r="F107" s="185"/>
      <c r="G107" s="186"/>
      <c r="H107" s="1264"/>
      <c r="I107" s="1264"/>
      <c r="J107" s="899"/>
      <c r="K107" s="311"/>
      <c r="L107" s="316"/>
      <c r="M107" s="316"/>
      <c r="N107" s="185"/>
      <c r="O107" s="659"/>
      <c r="P107" s="460"/>
      <c r="Q107" s="460"/>
      <c r="R107" s="460"/>
      <c r="S107" s="460"/>
    </row>
    <row r="108" spans="1:19">
      <c r="A108" s="460"/>
      <c r="B108" s="661"/>
      <c r="C108" s="185"/>
      <c r="D108" s="185"/>
      <c r="E108" s="185"/>
      <c r="F108" s="185"/>
      <c r="G108" s="186"/>
      <c r="H108" s="1264"/>
      <c r="I108" s="1264"/>
      <c r="J108" s="899"/>
      <c r="K108" s="311"/>
      <c r="L108" s="316"/>
      <c r="M108" s="316"/>
      <c r="N108" s="185"/>
      <c r="O108" s="659"/>
      <c r="P108" s="460"/>
      <c r="Q108" s="460"/>
      <c r="R108" s="460"/>
      <c r="S108" s="460"/>
    </row>
    <row r="109" spans="1:19">
      <c r="A109" s="460"/>
      <c r="B109" s="661"/>
      <c r="C109" s="185"/>
      <c r="D109" s="185"/>
      <c r="E109" s="185"/>
      <c r="F109" s="185"/>
      <c r="G109" s="186"/>
      <c r="H109" s="1264"/>
      <c r="I109" s="1264"/>
      <c r="J109" s="899"/>
      <c r="K109" s="311"/>
      <c r="L109" s="316"/>
      <c r="M109" s="316"/>
      <c r="N109" s="185"/>
      <c r="O109" s="659"/>
      <c r="P109" s="460"/>
      <c r="Q109" s="460"/>
      <c r="R109" s="460"/>
      <c r="S109" s="460"/>
    </row>
    <row r="110" spans="1:19">
      <c r="A110" s="460"/>
      <c r="B110" s="661"/>
      <c r="C110" s="185"/>
      <c r="D110" s="185"/>
      <c r="E110" s="185"/>
      <c r="F110" s="185"/>
      <c r="G110" s="186"/>
      <c r="H110" s="1264"/>
      <c r="I110" s="1264"/>
      <c r="J110" s="899"/>
      <c r="K110" s="311"/>
      <c r="L110" s="316"/>
      <c r="M110" s="316"/>
      <c r="N110" s="185"/>
      <c r="O110" s="659"/>
      <c r="P110" s="460"/>
      <c r="Q110" s="460"/>
      <c r="R110" s="460"/>
      <c r="S110" s="460"/>
    </row>
    <row r="111" spans="1:19">
      <c r="A111" s="460"/>
      <c r="B111" s="661"/>
      <c r="C111" s="185"/>
      <c r="D111" s="185"/>
      <c r="E111" s="185"/>
      <c r="F111" s="185"/>
      <c r="G111" s="186"/>
      <c r="H111" s="1264"/>
      <c r="I111" s="1264"/>
      <c r="J111" s="899"/>
      <c r="K111" s="311"/>
      <c r="L111" s="316"/>
      <c r="M111" s="316"/>
      <c r="N111" s="185"/>
      <c r="O111" s="659"/>
      <c r="P111" s="460"/>
      <c r="Q111" s="460"/>
      <c r="R111" s="460"/>
      <c r="S111" s="460"/>
    </row>
    <row r="112" spans="1:19">
      <c r="A112" s="460"/>
      <c r="B112" s="661"/>
      <c r="C112" s="185"/>
      <c r="D112" s="185"/>
      <c r="E112" s="185"/>
      <c r="F112" s="185"/>
      <c r="G112" s="186"/>
      <c r="H112" s="1264"/>
      <c r="I112" s="1264"/>
      <c r="J112" s="899"/>
      <c r="K112" s="311"/>
      <c r="L112" s="316"/>
      <c r="M112" s="316"/>
      <c r="N112" s="185"/>
      <c r="O112" s="659"/>
      <c r="P112" s="460"/>
      <c r="Q112" s="460"/>
      <c r="R112" s="460"/>
      <c r="S112" s="460"/>
    </row>
    <row r="113" spans="1:19">
      <c r="A113" s="460"/>
      <c r="B113" s="661"/>
      <c r="C113" s="185"/>
      <c r="D113" s="185"/>
      <c r="E113" s="185"/>
      <c r="F113" s="185"/>
      <c r="G113" s="186"/>
      <c r="H113" s="1264"/>
      <c r="I113" s="1264"/>
      <c r="J113" s="899"/>
      <c r="K113" s="311"/>
      <c r="L113" s="316"/>
      <c r="M113" s="316"/>
      <c r="N113" s="185"/>
      <c r="O113" s="659"/>
      <c r="P113" s="460"/>
      <c r="Q113" s="460"/>
      <c r="R113" s="460"/>
      <c r="S113" s="460"/>
    </row>
    <row r="114" spans="1:19">
      <c r="A114" s="460"/>
      <c r="B114" s="661"/>
      <c r="C114" s="185"/>
      <c r="D114" s="185"/>
      <c r="E114" s="185"/>
      <c r="F114" s="185"/>
      <c r="G114" s="186"/>
      <c r="H114" s="1264"/>
      <c r="I114" s="1264"/>
      <c r="J114" s="899"/>
      <c r="K114" s="311"/>
      <c r="L114" s="316"/>
      <c r="M114" s="316"/>
      <c r="N114" s="185"/>
      <c r="O114" s="659"/>
      <c r="P114" s="460"/>
      <c r="Q114" s="460"/>
      <c r="R114" s="460"/>
      <c r="S114" s="460"/>
    </row>
    <row r="115" spans="1:19">
      <c r="A115" s="460"/>
      <c r="B115" s="661"/>
      <c r="C115" s="185"/>
      <c r="D115" s="185"/>
      <c r="E115" s="185"/>
      <c r="F115" s="185"/>
      <c r="G115" s="186"/>
      <c r="H115" s="1264"/>
      <c r="I115" s="1264"/>
      <c r="J115" s="899"/>
      <c r="K115" s="311"/>
      <c r="L115" s="316"/>
      <c r="M115" s="316"/>
      <c r="N115" s="185"/>
      <c r="O115" s="659"/>
      <c r="P115" s="460"/>
      <c r="Q115" s="460"/>
      <c r="R115" s="460"/>
      <c r="S115" s="460"/>
    </row>
    <row r="116" spans="1:19">
      <c r="A116" s="460"/>
      <c r="B116" s="661"/>
      <c r="C116" s="185"/>
      <c r="D116" s="185"/>
      <c r="E116" s="185"/>
      <c r="F116" s="185"/>
      <c r="G116" s="186"/>
      <c r="H116" s="1264"/>
      <c r="I116" s="1264"/>
      <c r="J116" s="899"/>
      <c r="K116" s="311"/>
      <c r="L116" s="316"/>
      <c r="M116" s="316"/>
      <c r="N116" s="185"/>
      <c r="O116" s="659"/>
      <c r="P116" s="460"/>
      <c r="Q116" s="460"/>
      <c r="R116" s="460"/>
      <c r="S116" s="460"/>
    </row>
    <row r="117" spans="1:19">
      <c r="A117" s="460"/>
      <c r="B117" s="661"/>
      <c r="C117" s="185"/>
      <c r="D117" s="185"/>
      <c r="E117" s="185"/>
      <c r="F117" s="185"/>
      <c r="G117" s="186"/>
      <c r="H117" s="1264"/>
      <c r="I117" s="1264"/>
      <c r="J117" s="899"/>
      <c r="K117" s="311"/>
      <c r="L117" s="316"/>
      <c r="M117" s="316"/>
      <c r="N117" s="185"/>
      <c r="O117" s="659"/>
      <c r="P117" s="460"/>
      <c r="Q117" s="460"/>
      <c r="R117" s="460"/>
      <c r="S117" s="460"/>
    </row>
    <row r="118" spans="1:19">
      <c r="A118" s="460"/>
      <c r="B118" s="661"/>
      <c r="C118" s="185"/>
      <c r="D118" s="185"/>
      <c r="E118" s="185"/>
      <c r="F118" s="185"/>
      <c r="G118" s="186"/>
      <c r="H118" s="1264"/>
      <c r="I118" s="1264"/>
      <c r="J118" s="899"/>
      <c r="K118" s="311"/>
      <c r="L118" s="316"/>
      <c r="M118" s="316"/>
      <c r="N118" s="185"/>
      <c r="O118" s="659"/>
      <c r="P118" s="460"/>
      <c r="Q118" s="460"/>
      <c r="R118" s="460"/>
      <c r="S118" s="460"/>
    </row>
    <row r="119" spans="1:19">
      <c r="A119" s="460"/>
      <c r="B119" s="661"/>
      <c r="C119" s="185"/>
      <c r="D119" s="185"/>
      <c r="E119" s="185"/>
      <c r="F119" s="185"/>
      <c r="G119" s="186"/>
      <c r="H119" s="1264"/>
      <c r="I119" s="1264"/>
      <c r="J119" s="899"/>
      <c r="K119" s="311"/>
      <c r="L119" s="316"/>
      <c r="M119" s="316"/>
      <c r="N119" s="185"/>
      <c r="O119" s="659"/>
      <c r="P119" s="460"/>
      <c r="Q119" s="460"/>
      <c r="R119" s="460"/>
      <c r="S119" s="460"/>
    </row>
    <row r="120" spans="1:19">
      <c r="A120" s="460"/>
      <c r="B120" s="661"/>
      <c r="C120" s="185"/>
      <c r="D120" s="185"/>
      <c r="E120" s="185"/>
      <c r="F120" s="185"/>
      <c r="G120" s="186"/>
      <c r="H120" s="1264"/>
      <c r="I120" s="1264"/>
      <c r="J120" s="899"/>
      <c r="K120" s="311"/>
      <c r="L120" s="316"/>
      <c r="M120" s="316"/>
      <c r="N120" s="185"/>
      <c r="O120" s="659"/>
      <c r="P120" s="460"/>
      <c r="Q120" s="460"/>
      <c r="R120" s="460"/>
      <c r="S120" s="460"/>
    </row>
    <row r="121" spans="1:19">
      <c r="A121" s="460"/>
      <c r="B121" s="661"/>
      <c r="C121" s="185"/>
      <c r="D121" s="185"/>
      <c r="E121" s="185"/>
      <c r="F121" s="185"/>
      <c r="G121" s="186"/>
      <c r="H121" s="1264"/>
      <c r="I121" s="1264"/>
      <c r="J121" s="899"/>
      <c r="K121" s="311"/>
      <c r="L121" s="316"/>
      <c r="M121" s="316"/>
      <c r="N121" s="185"/>
      <c r="O121" s="659"/>
      <c r="P121" s="460"/>
      <c r="Q121" s="460"/>
      <c r="R121" s="460"/>
      <c r="S121" s="460"/>
    </row>
    <row r="122" spans="1:19">
      <c r="A122" s="460"/>
      <c r="B122" s="661"/>
      <c r="C122" s="185"/>
      <c r="D122" s="185"/>
      <c r="E122" s="185"/>
      <c r="F122" s="185"/>
      <c r="G122" s="186"/>
      <c r="H122" s="1264"/>
      <c r="I122" s="1264"/>
      <c r="J122" s="899"/>
      <c r="K122" s="311"/>
      <c r="L122" s="316"/>
      <c r="M122" s="316"/>
      <c r="N122" s="185"/>
      <c r="O122" s="659"/>
      <c r="P122" s="460"/>
      <c r="Q122" s="460"/>
      <c r="R122" s="460"/>
      <c r="S122" s="460"/>
    </row>
    <row r="123" spans="1:19">
      <c r="A123" s="460"/>
      <c r="B123" s="661"/>
      <c r="C123" s="185"/>
      <c r="D123" s="185"/>
      <c r="E123" s="185"/>
      <c r="F123" s="185"/>
      <c r="G123" s="186"/>
      <c r="H123" s="1264"/>
      <c r="I123" s="1264"/>
      <c r="J123" s="899"/>
      <c r="K123" s="311"/>
      <c r="L123" s="316"/>
      <c r="M123" s="316"/>
      <c r="N123" s="185"/>
      <c r="O123" s="659"/>
      <c r="P123" s="460"/>
      <c r="Q123" s="460"/>
      <c r="R123" s="460"/>
      <c r="S123" s="460"/>
    </row>
    <row r="124" spans="1:19">
      <c r="A124" s="460"/>
      <c r="B124" s="661"/>
      <c r="C124" s="185"/>
      <c r="D124" s="185"/>
      <c r="E124" s="185"/>
      <c r="F124" s="185"/>
      <c r="G124" s="186"/>
      <c r="H124" s="1264"/>
      <c r="I124" s="1264"/>
      <c r="J124" s="899"/>
      <c r="K124" s="311"/>
      <c r="L124" s="316"/>
      <c r="M124" s="316"/>
      <c r="N124" s="185"/>
      <c r="O124" s="659"/>
      <c r="P124" s="460"/>
      <c r="Q124" s="460"/>
      <c r="R124" s="460"/>
      <c r="S124" s="460"/>
    </row>
    <row r="125" spans="1:19">
      <c r="A125" s="460"/>
      <c r="B125" s="661"/>
      <c r="C125" s="185"/>
      <c r="D125" s="185"/>
      <c r="E125" s="185"/>
      <c r="F125" s="185"/>
      <c r="G125" s="186"/>
      <c r="H125" s="1264"/>
      <c r="I125" s="1264"/>
      <c r="J125" s="899"/>
      <c r="K125" s="311"/>
      <c r="L125" s="316"/>
      <c r="M125" s="316"/>
      <c r="N125" s="185"/>
      <c r="O125" s="659"/>
      <c r="P125" s="460"/>
      <c r="Q125" s="460"/>
      <c r="R125" s="460"/>
      <c r="S125" s="460"/>
    </row>
    <row r="126" spans="1:19">
      <c r="A126" s="460"/>
      <c r="B126" s="661"/>
      <c r="C126" s="185"/>
      <c r="D126" s="185"/>
      <c r="E126" s="185"/>
      <c r="F126" s="185"/>
      <c r="G126" s="186"/>
      <c r="H126" s="1264"/>
      <c r="I126" s="1264"/>
      <c r="J126" s="899"/>
      <c r="K126" s="311"/>
      <c r="L126" s="316"/>
      <c r="M126" s="316"/>
      <c r="N126" s="185"/>
      <c r="O126" s="659"/>
      <c r="P126" s="460"/>
      <c r="Q126" s="460"/>
      <c r="R126" s="460"/>
      <c r="S126" s="460"/>
    </row>
    <row r="127" spans="1:19">
      <c r="A127" s="460"/>
      <c r="B127" s="661"/>
      <c r="C127" s="185"/>
      <c r="D127" s="185"/>
      <c r="E127" s="185"/>
      <c r="F127" s="185"/>
      <c r="G127" s="186"/>
      <c r="H127" s="1264"/>
      <c r="I127" s="1264"/>
      <c r="J127" s="899"/>
      <c r="K127" s="311"/>
      <c r="L127" s="316"/>
      <c r="M127" s="316"/>
      <c r="N127" s="185"/>
      <c r="O127" s="659"/>
      <c r="P127" s="460"/>
      <c r="Q127" s="460"/>
      <c r="R127" s="460"/>
      <c r="S127" s="460"/>
    </row>
    <row r="128" spans="1:19">
      <c r="A128" s="460"/>
      <c r="B128" s="661"/>
      <c r="C128" s="185"/>
      <c r="D128" s="185"/>
      <c r="E128" s="185"/>
      <c r="F128" s="185"/>
      <c r="G128" s="186"/>
      <c r="H128" s="1264"/>
      <c r="I128" s="1264"/>
      <c r="J128" s="899"/>
      <c r="K128" s="311"/>
      <c r="L128" s="316"/>
      <c r="M128" s="316"/>
      <c r="N128" s="185"/>
      <c r="O128" s="659"/>
      <c r="P128" s="460"/>
      <c r="Q128" s="460"/>
      <c r="R128" s="460"/>
      <c r="S128" s="460"/>
    </row>
    <row r="129" spans="1:19">
      <c r="A129" s="460"/>
      <c r="B129" s="661"/>
      <c r="C129" s="185"/>
      <c r="D129" s="185"/>
      <c r="E129" s="185"/>
      <c r="F129" s="185"/>
      <c r="G129" s="186"/>
      <c r="H129" s="1264"/>
      <c r="I129" s="1264"/>
      <c r="J129" s="899"/>
      <c r="K129" s="311"/>
      <c r="L129" s="316"/>
      <c r="M129" s="316"/>
      <c r="N129" s="185"/>
      <c r="O129" s="659"/>
      <c r="P129" s="460"/>
      <c r="Q129" s="460"/>
      <c r="R129" s="460"/>
      <c r="S129" s="460"/>
    </row>
    <row r="130" spans="1:19">
      <c r="A130" s="460"/>
      <c r="B130" s="661"/>
      <c r="C130" s="185"/>
      <c r="D130" s="185"/>
      <c r="E130" s="185"/>
      <c r="F130" s="185"/>
      <c r="G130" s="186"/>
      <c r="H130" s="1264"/>
      <c r="I130" s="1264"/>
      <c r="J130" s="899"/>
      <c r="K130" s="311"/>
      <c r="L130" s="316"/>
      <c r="M130" s="316"/>
      <c r="N130" s="185"/>
      <c r="O130" s="659"/>
      <c r="P130" s="460"/>
      <c r="Q130" s="460"/>
      <c r="R130" s="460"/>
      <c r="S130" s="460"/>
    </row>
    <row r="131" spans="1:19">
      <c r="A131" s="460"/>
      <c r="B131" s="661"/>
      <c r="C131" s="185"/>
      <c r="D131" s="185"/>
      <c r="E131" s="185"/>
      <c r="F131" s="185"/>
      <c r="G131" s="186"/>
      <c r="H131" s="1264"/>
      <c r="I131" s="1264"/>
      <c r="J131" s="899"/>
      <c r="K131" s="311"/>
      <c r="L131" s="316"/>
      <c r="M131" s="316"/>
      <c r="N131" s="185"/>
      <c r="O131" s="659"/>
      <c r="P131" s="460"/>
      <c r="Q131" s="460"/>
      <c r="R131" s="460"/>
      <c r="S131" s="460"/>
    </row>
    <row r="132" spans="1:19">
      <c r="A132" s="460"/>
      <c r="B132" s="661"/>
      <c r="C132" s="185"/>
      <c r="D132" s="185"/>
      <c r="E132" s="185"/>
      <c r="F132" s="185"/>
      <c r="G132" s="186"/>
      <c r="H132" s="1264"/>
      <c r="I132" s="1264"/>
      <c r="J132" s="899"/>
      <c r="K132" s="311"/>
      <c r="L132" s="316"/>
      <c r="M132" s="316"/>
      <c r="N132" s="185"/>
      <c r="O132" s="659"/>
      <c r="P132" s="460"/>
      <c r="Q132" s="460"/>
      <c r="R132" s="460"/>
      <c r="S132" s="460"/>
    </row>
    <row r="133" spans="1:19">
      <c r="A133" s="460"/>
      <c r="B133" s="661"/>
      <c r="C133" s="185"/>
      <c r="D133" s="185"/>
      <c r="E133" s="185"/>
      <c r="F133" s="185"/>
      <c r="G133" s="186"/>
      <c r="H133" s="1264"/>
      <c r="I133" s="1264"/>
      <c r="J133" s="899"/>
      <c r="K133" s="311"/>
      <c r="L133" s="316"/>
      <c r="M133" s="316"/>
      <c r="N133" s="185"/>
      <c r="O133" s="659"/>
      <c r="P133" s="460"/>
      <c r="Q133" s="460"/>
      <c r="R133" s="460"/>
      <c r="S133" s="460"/>
    </row>
    <row r="134" spans="1:19">
      <c r="A134" s="460"/>
      <c r="B134" s="661"/>
      <c r="C134" s="185"/>
      <c r="D134" s="185"/>
      <c r="E134" s="185"/>
      <c r="F134" s="185"/>
      <c r="G134" s="186"/>
      <c r="H134" s="1264"/>
      <c r="I134" s="1264"/>
      <c r="J134" s="899"/>
      <c r="K134" s="311"/>
      <c r="L134" s="316"/>
      <c r="M134" s="316"/>
      <c r="N134" s="185"/>
      <c r="O134" s="659"/>
      <c r="P134" s="460"/>
      <c r="Q134" s="460"/>
      <c r="R134" s="460"/>
      <c r="S134" s="460"/>
    </row>
    <row r="135" spans="1:19">
      <c r="A135" s="460"/>
      <c r="B135" s="661"/>
      <c r="C135" s="185"/>
      <c r="D135" s="185"/>
      <c r="E135" s="185"/>
      <c r="F135" s="185"/>
      <c r="G135" s="186"/>
      <c r="H135" s="1264"/>
      <c r="I135" s="1264"/>
      <c r="J135" s="899"/>
      <c r="K135" s="311"/>
      <c r="L135" s="316"/>
      <c r="M135" s="316"/>
      <c r="N135" s="185"/>
      <c r="O135" s="659"/>
      <c r="P135" s="460"/>
      <c r="Q135" s="460"/>
      <c r="R135" s="460"/>
      <c r="S135" s="460"/>
    </row>
    <row r="136" spans="1:19">
      <c r="A136" s="460"/>
      <c r="B136" s="661"/>
      <c r="C136" s="185"/>
      <c r="D136" s="185"/>
      <c r="E136" s="185"/>
      <c r="F136" s="185"/>
      <c r="G136" s="186"/>
      <c r="H136" s="1264"/>
      <c r="I136" s="1264"/>
      <c r="J136" s="899"/>
      <c r="K136" s="311"/>
      <c r="L136" s="316"/>
      <c r="M136" s="316"/>
      <c r="N136" s="185"/>
      <c r="O136" s="659"/>
      <c r="P136" s="460"/>
      <c r="Q136" s="460"/>
      <c r="R136" s="460"/>
      <c r="S136" s="460"/>
    </row>
    <row r="137" spans="1:19">
      <c r="A137" s="460"/>
      <c r="B137" s="661"/>
      <c r="C137" s="185"/>
      <c r="D137" s="185"/>
      <c r="E137" s="185"/>
      <c r="F137" s="185"/>
      <c r="G137" s="186"/>
      <c r="H137" s="1264"/>
      <c r="I137" s="1264"/>
      <c r="J137" s="899"/>
      <c r="K137" s="311"/>
      <c r="L137" s="316"/>
      <c r="M137" s="316"/>
      <c r="N137" s="185"/>
      <c r="O137" s="659"/>
      <c r="P137" s="460"/>
      <c r="Q137" s="460"/>
      <c r="R137" s="460"/>
      <c r="S137" s="460"/>
    </row>
    <row r="138" spans="1:19">
      <c r="A138" s="460"/>
      <c r="B138" s="661"/>
      <c r="C138" s="185"/>
      <c r="D138" s="185"/>
      <c r="E138" s="185"/>
      <c r="F138" s="185"/>
      <c r="G138" s="186"/>
      <c r="H138" s="1264"/>
      <c r="I138" s="1264"/>
      <c r="J138" s="899"/>
      <c r="K138" s="311"/>
      <c r="L138" s="316"/>
      <c r="M138" s="316"/>
      <c r="N138" s="185"/>
      <c r="O138" s="659"/>
      <c r="P138" s="460"/>
      <c r="Q138" s="460"/>
      <c r="R138" s="460"/>
      <c r="S138" s="460"/>
    </row>
    <row r="139" spans="1:19">
      <c r="A139" s="460"/>
      <c r="B139" s="661"/>
      <c r="C139" s="185"/>
      <c r="D139" s="185"/>
      <c r="E139" s="185"/>
      <c r="F139" s="185"/>
      <c r="G139" s="186"/>
      <c r="H139" s="1264"/>
      <c r="I139" s="1264"/>
      <c r="J139" s="899"/>
      <c r="K139" s="311"/>
      <c r="L139" s="316"/>
      <c r="M139" s="316"/>
      <c r="N139" s="185"/>
      <c r="O139" s="659"/>
      <c r="P139" s="460"/>
      <c r="Q139" s="460"/>
      <c r="R139" s="460"/>
      <c r="S139" s="460"/>
    </row>
    <row r="140" spans="1:19">
      <c r="A140" s="460"/>
      <c r="B140" s="661"/>
      <c r="C140" s="185"/>
      <c r="D140" s="185"/>
      <c r="E140" s="185"/>
      <c r="F140" s="185"/>
      <c r="G140" s="186"/>
      <c r="H140" s="1264"/>
      <c r="I140" s="1264"/>
      <c r="J140" s="899"/>
      <c r="K140" s="311"/>
      <c r="L140" s="316"/>
      <c r="M140" s="316"/>
      <c r="N140" s="185"/>
      <c r="O140" s="659"/>
      <c r="P140" s="460"/>
      <c r="Q140" s="460"/>
      <c r="R140" s="460"/>
      <c r="S140" s="460"/>
    </row>
    <row r="141" spans="1:19">
      <c r="A141" s="460"/>
      <c r="B141" s="661"/>
      <c r="C141" s="185"/>
      <c r="D141" s="185"/>
      <c r="E141" s="185"/>
      <c r="F141" s="185"/>
      <c r="G141" s="186"/>
      <c r="H141" s="1264"/>
      <c r="I141" s="1264"/>
      <c r="J141" s="899"/>
      <c r="K141" s="311"/>
      <c r="L141" s="316"/>
      <c r="M141" s="316"/>
      <c r="N141" s="185"/>
      <c r="O141" s="659"/>
      <c r="P141" s="460"/>
      <c r="Q141" s="460"/>
      <c r="R141" s="460"/>
      <c r="S141" s="460"/>
    </row>
    <row r="142" spans="1:19">
      <c r="A142" s="460"/>
      <c r="B142" s="661"/>
      <c r="C142" s="185"/>
      <c r="D142" s="185"/>
      <c r="E142" s="185"/>
      <c r="F142" s="185"/>
      <c r="G142" s="186"/>
      <c r="H142" s="1264"/>
      <c r="I142" s="1264"/>
      <c r="J142" s="899"/>
      <c r="K142" s="311"/>
      <c r="L142" s="316"/>
      <c r="M142" s="316"/>
      <c r="N142" s="185"/>
      <c r="O142" s="659"/>
      <c r="P142" s="460"/>
      <c r="Q142" s="460"/>
      <c r="R142" s="460"/>
      <c r="S142" s="460"/>
    </row>
    <row r="143" spans="1:19">
      <c r="A143" s="460"/>
      <c r="B143" s="661"/>
      <c r="C143" s="185"/>
      <c r="D143" s="185"/>
      <c r="E143" s="185"/>
      <c r="F143" s="185"/>
      <c r="G143" s="186"/>
      <c r="H143" s="1264"/>
      <c r="I143" s="1264"/>
      <c r="J143" s="899"/>
      <c r="K143" s="311"/>
      <c r="L143" s="316"/>
      <c r="M143" s="316"/>
      <c r="N143" s="185"/>
      <c r="O143" s="659"/>
      <c r="P143" s="460"/>
      <c r="Q143" s="460"/>
      <c r="R143" s="460"/>
      <c r="S143" s="460"/>
    </row>
    <row r="144" spans="1:19">
      <c r="A144" s="460"/>
      <c r="B144" s="661"/>
      <c r="C144" s="185"/>
      <c r="D144" s="185"/>
      <c r="E144" s="185"/>
      <c r="F144" s="185"/>
      <c r="G144" s="186"/>
      <c r="H144" s="1264"/>
      <c r="I144" s="1264"/>
      <c r="J144" s="899"/>
      <c r="K144" s="311"/>
      <c r="L144" s="316"/>
      <c r="M144" s="316"/>
      <c r="N144" s="185"/>
      <c r="O144" s="659"/>
      <c r="P144" s="460"/>
      <c r="Q144" s="460"/>
      <c r="R144" s="460"/>
      <c r="S144" s="460"/>
    </row>
    <row r="145" spans="1:19">
      <c r="A145" s="460"/>
      <c r="B145" s="661"/>
      <c r="C145" s="185"/>
      <c r="D145" s="185"/>
      <c r="E145" s="185"/>
      <c r="F145" s="185"/>
      <c r="G145" s="186"/>
      <c r="H145" s="1264"/>
      <c r="I145" s="1264"/>
      <c r="J145" s="899"/>
      <c r="K145" s="311"/>
      <c r="L145" s="316"/>
      <c r="M145" s="316"/>
      <c r="N145" s="185"/>
      <c r="O145" s="659"/>
      <c r="P145" s="460"/>
      <c r="Q145" s="460"/>
      <c r="R145" s="460"/>
      <c r="S145" s="460"/>
    </row>
    <row r="146" spans="1:19">
      <c r="A146" s="460"/>
      <c r="B146" s="661"/>
      <c r="C146" s="185"/>
      <c r="D146" s="185"/>
      <c r="E146" s="185"/>
      <c r="F146" s="185"/>
      <c r="G146" s="186"/>
      <c r="H146" s="1264"/>
      <c r="I146" s="1264"/>
      <c r="J146" s="899"/>
      <c r="K146" s="311"/>
      <c r="L146" s="316"/>
      <c r="M146" s="316"/>
      <c r="N146" s="185"/>
      <c r="O146" s="659"/>
      <c r="P146" s="460"/>
      <c r="Q146" s="460"/>
      <c r="R146" s="460"/>
      <c r="S146" s="460"/>
    </row>
    <row r="147" spans="1:19">
      <c r="A147" s="460"/>
      <c r="B147" s="661"/>
      <c r="C147" s="185"/>
      <c r="D147" s="185"/>
      <c r="E147" s="185"/>
      <c r="F147" s="185"/>
      <c r="G147" s="186"/>
      <c r="H147" s="1264"/>
      <c r="I147" s="1264"/>
      <c r="J147" s="899"/>
      <c r="K147" s="311"/>
      <c r="L147" s="316"/>
      <c r="M147" s="316"/>
      <c r="N147" s="185"/>
      <c r="O147" s="659"/>
      <c r="P147" s="460"/>
      <c r="Q147" s="460"/>
      <c r="R147" s="460"/>
      <c r="S147" s="460"/>
    </row>
    <row r="148" spans="1:19">
      <c r="A148" s="460"/>
      <c r="B148" s="661"/>
      <c r="C148" s="185"/>
      <c r="D148" s="185"/>
      <c r="E148" s="185"/>
      <c r="F148" s="185"/>
      <c r="G148" s="186"/>
      <c r="H148" s="1264"/>
      <c r="I148" s="1264"/>
      <c r="J148" s="899"/>
      <c r="K148" s="311"/>
      <c r="L148" s="316"/>
      <c r="M148" s="316"/>
      <c r="N148" s="185"/>
      <c r="O148" s="659"/>
      <c r="P148" s="460"/>
      <c r="Q148" s="460"/>
      <c r="R148" s="460"/>
      <c r="S148" s="460"/>
    </row>
    <row r="149" spans="1:19">
      <c r="A149" s="460"/>
      <c r="B149" s="661"/>
      <c r="C149" s="185"/>
      <c r="D149" s="185"/>
      <c r="E149" s="185"/>
      <c r="F149" s="185"/>
      <c r="G149" s="186"/>
      <c r="H149" s="1264"/>
      <c r="I149" s="1264"/>
      <c r="J149" s="899"/>
      <c r="K149" s="311"/>
      <c r="L149" s="316"/>
      <c r="M149" s="316"/>
      <c r="N149" s="185"/>
      <c r="O149" s="659"/>
      <c r="P149" s="460"/>
      <c r="Q149" s="460"/>
      <c r="R149" s="460"/>
      <c r="S149" s="460"/>
    </row>
    <row r="150" spans="1:19">
      <c r="A150" s="460"/>
      <c r="B150" s="661"/>
      <c r="C150" s="185"/>
      <c r="D150" s="185"/>
      <c r="E150" s="185"/>
      <c r="F150" s="185"/>
      <c r="G150" s="186"/>
      <c r="H150" s="1264"/>
      <c r="I150" s="1264"/>
      <c r="J150" s="899"/>
      <c r="K150" s="311"/>
      <c r="L150" s="316"/>
      <c r="M150" s="316"/>
      <c r="N150" s="185"/>
      <c r="O150" s="659"/>
      <c r="P150" s="460"/>
      <c r="Q150" s="460"/>
      <c r="R150" s="460"/>
      <c r="S150" s="460"/>
    </row>
    <row r="151" spans="1:19">
      <c r="A151" s="460"/>
      <c r="B151" s="661"/>
      <c r="C151" s="185"/>
      <c r="D151" s="185"/>
      <c r="E151" s="185"/>
      <c r="F151" s="185"/>
      <c r="G151" s="186"/>
      <c r="H151" s="1264"/>
      <c r="I151" s="1264"/>
      <c r="J151" s="899"/>
      <c r="K151" s="311"/>
      <c r="L151" s="316"/>
      <c r="M151" s="316"/>
      <c r="N151" s="185"/>
      <c r="O151" s="659"/>
      <c r="P151" s="460"/>
      <c r="Q151" s="460"/>
      <c r="R151" s="460"/>
      <c r="S151" s="460"/>
    </row>
    <row r="152" spans="1:19">
      <c r="A152" s="460"/>
      <c r="B152" s="661"/>
      <c r="C152" s="185"/>
      <c r="D152" s="185"/>
      <c r="E152" s="185"/>
      <c r="F152" s="185"/>
      <c r="G152" s="186"/>
      <c r="H152" s="1264"/>
      <c r="I152" s="1264"/>
      <c r="J152" s="899"/>
      <c r="K152" s="311"/>
      <c r="L152" s="316"/>
      <c r="M152" s="316"/>
      <c r="N152" s="185"/>
      <c r="O152" s="659"/>
      <c r="P152" s="460"/>
      <c r="Q152" s="460"/>
      <c r="R152" s="460"/>
      <c r="S152" s="460"/>
    </row>
    <row r="153" spans="1:19">
      <c r="A153" s="460"/>
      <c r="B153" s="661"/>
      <c r="C153" s="185"/>
      <c r="D153" s="185"/>
      <c r="E153" s="185"/>
      <c r="F153" s="185"/>
      <c r="G153" s="186"/>
      <c r="H153" s="1264"/>
      <c r="I153" s="1264"/>
      <c r="J153" s="899"/>
      <c r="K153" s="311"/>
      <c r="L153" s="316"/>
      <c r="M153" s="316"/>
      <c r="N153" s="185"/>
      <c r="O153" s="659"/>
      <c r="P153" s="460"/>
      <c r="Q153" s="460"/>
      <c r="R153" s="460"/>
      <c r="S153" s="460"/>
    </row>
    <row r="154" spans="1:19">
      <c r="A154" s="460"/>
      <c r="B154" s="661"/>
      <c r="C154" s="185"/>
      <c r="D154" s="185"/>
      <c r="E154" s="185"/>
      <c r="F154" s="185"/>
      <c r="G154" s="186"/>
      <c r="H154" s="1264"/>
      <c r="I154" s="1264"/>
      <c r="J154" s="899"/>
      <c r="K154" s="311"/>
      <c r="L154" s="316"/>
      <c r="M154" s="316"/>
      <c r="N154" s="185"/>
      <c r="O154" s="659"/>
      <c r="P154" s="460"/>
      <c r="Q154" s="460"/>
      <c r="R154" s="460"/>
      <c r="S154" s="460"/>
    </row>
    <row r="155" spans="1:19">
      <c r="A155" s="460"/>
      <c r="B155" s="661"/>
      <c r="C155" s="185"/>
      <c r="D155" s="185"/>
      <c r="E155" s="185"/>
      <c r="F155" s="185"/>
      <c r="G155" s="186"/>
      <c r="H155" s="1264"/>
      <c r="I155" s="1264"/>
      <c r="J155" s="899"/>
      <c r="K155" s="311"/>
      <c r="L155" s="316"/>
      <c r="M155" s="316"/>
      <c r="N155" s="185"/>
      <c r="O155" s="659"/>
      <c r="P155" s="460"/>
      <c r="Q155" s="460"/>
      <c r="R155" s="460"/>
      <c r="S155" s="460"/>
    </row>
    <row r="156" spans="1:19">
      <c r="A156" s="460"/>
      <c r="B156" s="661"/>
      <c r="C156" s="185"/>
      <c r="D156" s="185"/>
      <c r="E156" s="185"/>
      <c r="F156" s="185"/>
      <c r="G156" s="186"/>
      <c r="H156" s="1264"/>
      <c r="I156" s="1264"/>
      <c r="J156" s="899"/>
      <c r="K156" s="311"/>
      <c r="L156" s="316"/>
      <c r="M156" s="316"/>
      <c r="N156" s="185"/>
      <c r="O156" s="659"/>
      <c r="P156" s="460"/>
      <c r="Q156" s="460"/>
      <c r="R156" s="460"/>
      <c r="S156" s="460"/>
    </row>
    <row r="157" spans="1:19">
      <c r="A157" s="460"/>
      <c r="B157" s="661"/>
      <c r="C157" s="185"/>
      <c r="D157" s="185"/>
      <c r="E157" s="185"/>
      <c r="F157" s="185"/>
      <c r="G157" s="186"/>
      <c r="H157" s="1264"/>
      <c r="I157" s="1264"/>
      <c r="J157" s="899"/>
      <c r="K157" s="311"/>
      <c r="L157" s="316"/>
      <c r="M157" s="316"/>
      <c r="N157" s="185"/>
      <c r="O157" s="659"/>
      <c r="P157" s="460"/>
      <c r="Q157" s="460"/>
      <c r="R157" s="460"/>
      <c r="S157" s="460"/>
    </row>
    <row r="158" spans="1:19">
      <c r="A158" s="460"/>
      <c r="B158" s="661"/>
      <c r="C158" s="185"/>
      <c r="D158" s="185"/>
      <c r="E158" s="185"/>
      <c r="F158" s="185"/>
      <c r="G158" s="186"/>
      <c r="H158" s="1264"/>
      <c r="I158" s="1264"/>
      <c r="J158" s="899"/>
      <c r="K158" s="311"/>
      <c r="L158" s="316"/>
      <c r="M158" s="316"/>
      <c r="N158" s="185"/>
      <c r="O158" s="659"/>
      <c r="P158" s="460"/>
      <c r="Q158" s="460"/>
      <c r="R158" s="460"/>
      <c r="S158" s="460"/>
    </row>
    <row r="159" spans="1:19">
      <c r="A159" s="460"/>
      <c r="B159" s="661"/>
      <c r="C159" s="185"/>
      <c r="D159" s="185"/>
      <c r="E159" s="185"/>
      <c r="F159" s="185"/>
      <c r="G159" s="186"/>
      <c r="H159" s="1264"/>
      <c r="I159" s="1264"/>
      <c r="J159" s="899"/>
      <c r="K159" s="311"/>
      <c r="L159" s="316"/>
      <c r="M159" s="316"/>
      <c r="N159" s="185"/>
      <c r="O159" s="659"/>
      <c r="P159" s="460"/>
      <c r="Q159" s="460"/>
      <c r="R159" s="460"/>
      <c r="S159" s="460"/>
    </row>
    <row r="160" spans="1:19">
      <c r="A160" s="460"/>
      <c r="B160" s="661"/>
      <c r="C160" s="185"/>
      <c r="D160" s="185"/>
      <c r="E160" s="185"/>
      <c r="F160" s="185"/>
      <c r="G160" s="186"/>
      <c r="H160" s="1264"/>
      <c r="I160" s="1264"/>
      <c r="J160" s="899"/>
      <c r="K160" s="311"/>
      <c r="L160" s="316"/>
      <c r="M160" s="316"/>
      <c r="N160" s="185"/>
      <c r="O160" s="659"/>
      <c r="P160" s="460"/>
      <c r="Q160" s="460"/>
      <c r="R160" s="460"/>
      <c r="S160" s="460"/>
    </row>
    <row r="161" spans="1:19">
      <c r="A161" s="460"/>
      <c r="B161" s="661"/>
      <c r="C161" s="185"/>
      <c r="D161" s="185"/>
      <c r="E161" s="185"/>
      <c r="F161" s="185"/>
      <c r="G161" s="186"/>
      <c r="H161" s="1264"/>
      <c r="I161" s="1264"/>
      <c r="J161" s="899"/>
      <c r="K161" s="311"/>
      <c r="L161" s="316"/>
      <c r="M161" s="316"/>
      <c r="N161" s="185"/>
      <c r="O161" s="659"/>
      <c r="P161" s="460"/>
      <c r="Q161" s="460"/>
      <c r="R161" s="460"/>
      <c r="S161" s="460"/>
    </row>
    <row r="162" spans="1:19">
      <c r="A162" s="460"/>
      <c r="B162" s="661"/>
      <c r="C162" s="185"/>
      <c r="D162" s="185"/>
      <c r="E162" s="185"/>
      <c r="F162" s="185"/>
      <c r="G162" s="186"/>
      <c r="H162" s="1264"/>
      <c r="I162" s="1264"/>
      <c r="J162" s="899"/>
      <c r="K162" s="311"/>
      <c r="L162" s="316"/>
      <c r="M162" s="316"/>
      <c r="N162" s="185"/>
      <c r="O162" s="659"/>
      <c r="P162" s="460"/>
      <c r="Q162" s="460"/>
      <c r="R162" s="460"/>
      <c r="S162" s="460"/>
    </row>
    <row r="163" spans="1:19">
      <c r="A163" s="460"/>
      <c r="B163" s="661"/>
      <c r="C163" s="185"/>
      <c r="D163" s="185"/>
      <c r="E163" s="185"/>
      <c r="F163" s="185"/>
      <c r="G163" s="186"/>
      <c r="H163" s="1264"/>
      <c r="I163" s="1264"/>
      <c r="J163" s="899"/>
      <c r="K163" s="311"/>
      <c r="L163" s="316"/>
      <c r="M163" s="316"/>
      <c r="N163" s="185"/>
      <c r="O163" s="659"/>
      <c r="P163" s="460"/>
      <c r="Q163" s="460"/>
      <c r="R163" s="460"/>
      <c r="S163" s="460"/>
    </row>
    <row r="164" spans="1:19">
      <c r="A164" s="460"/>
      <c r="B164" s="661"/>
      <c r="C164" s="185"/>
      <c r="D164" s="185"/>
      <c r="E164" s="185"/>
      <c r="F164" s="185"/>
      <c r="G164" s="186"/>
      <c r="H164" s="1264"/>
      <c r="I164" s="1264"/>
      <c r="J164" s="899"/>
      <c r="K164" s="311"/>
      <c r="L164" s="316"/>
      <c r="M164" s="316"/>
      <c r="N164" s="185"/>
      <c r="O164" s="659"/>
      <c r="P164" s="460"/>
      <c r="Q164" s="460"/>
      <c r="R164" s="460"/>
      <c r="S164" s="460"/>
    </row>
    <row r="165" spans="1:19">
      <c r="A165" s="460"/>
      <c r="B165" s="661"/>
      <c r="C165" s="185"/>
      <c r="D165" s="185"/>
      <c r="E165" s="185"/>
      <c r="F165" s="185"/>
      <c r="G165" s="186"/>
      <c r="H165" s="1264"/>
      <c r="I165" s="1264"/>
      <c r="J165" s="899"/>
      <c r="K165" s="311"/>
      <c r="L165" s="316"/>
      <c r="M165" s="316"/>
      <c r="N165" s="185"/>
      <c r="O165" s="659"/>
      <c r="P165" s="460"/>
      <c r="Q165" s="460"/>
      <c r="R165" s="460"/>
      <c r="S165" s="460"/>
    </row>
    <row r="166" spans="1:19">
      <c r="A166" s="460"/>
      <c r="B166" s="661"/>
      <c r="C166" s="185"/>
      <c r="D166" s="185"/>
      <c r="E166" s="185"/>
      <c r="F166" s="185"/>
      <c r="G166" s="186"/>
      <c r="H166" s="1264"/>
      <c r="I166" s="1264"/>
      <c r="J166" s="899"/>
      <c r="K166" s="311"/>
      <c r="L166" s="316"/>
      <c r="M166" s="316"/>
      <c r="N166" s="185"/>
      <c r="O166" s="659"/>
      <c r="P166" s="460"/>
      <c r="Q166" s="460"/>
      <c r="R166" s="460"/>
      <c r="S166" s="460"/>
    </row>
    <row r="167" spans="1:19">
      <c r="A167" s="460"/>
      <c r="B167" s="661"/>
      <c r="C167" s="185"/>
      <c r="D167" s="185"/>
      <c r="E167" s="185"/>
      <c r="F167" s="185"/>
      <c r="G167" s="186"/>
      <c r="H167" s="1264"/>
      <c r="I167" s="1264"/>
      <c r="J167" s="899"/>
      <c r="K167" s="311"/>
      <c r="L167" s="316"/>
      <c r="M167" s="316"/>
      <c r="N167" s="185"/>
      <c r="O167" s="659"/>
      <c r="P167" s="460"/>
      <c r="Q167" s="460"/>
      <c r="R167" s="460"/>
      <c r="S167" s="460"/>
    </row>
    <row r="168" spans="1:19">
      <c r="A168" s="460"/>
      <c r="B168" s="661"/>
      <c r="C168" s="185"/>
      <c r="D168" s="185"/>
      <c r="E168" s="185"/>
      <c r="F168" s="185"/>
      <c r="G168" s="186"/>
      <c r="H168" s="1264"/>
      <c r="I168" s="1264"/>
      <c r="J168" s="899"/>
      <c r="K168" s="311"/>
      <c r="L168" s="316"/>
      <c r="M168" s="316"/>
      <c r="N168" s="185"/>
      <c r="O168" s="659"/>
      <c r="P168" s="460"/>
      <c r="Q168" s="460"/>
      <c r="R168" s="460"/>
      <c r="S168" s="460"/>
    </row>
    <row r="169" spans="1:19">
      <c r="A169" s="460"/>
      <c r="B169" s="661"/>
      <c r="C169" s="185"/>
      <c r="D169" s="185"/>
      <c r="E169" s="185"/>
      <c r="F169" s="185"/>
      <c r="G169" s="186"/>
      <c r="H169" s="1264"/>
      <c r="I169" s="1264"/>
      <c r="J169" s="899"/>
      <c r="K169" s="311"/>
      <c r="L169" s="316"/>
      <c r="M169" s="316"/>
      <c r="N169" s="185"/>
      <c r="O169" s="659"/>
      <c r="P169" s="460"/>
      <c r="Q169" s="460"/>
      <c r="R169" s="460"/>
      <c r="S169" s="460"/>
    </row>
    <row r="170" spans="1:19">
      <c r="A170" s="460"/>
      <c r="B170" s="661"/>
      <c r="C170" s="185"/>
      <c r="D170" s="185"/>
      <c r="E170" s="185"/>
      <c r="F170" s="185"/>
      <c r="G170" s="186"/>
      <c r="H170" s="1264"/>
      <c r="I170" s="1264"/>
      <c r="J170" s="899"/>
      <c r="K170" s="311"/>
      <c r="L170" s="316"/>
      <c r="M170" s="316"/>
      <c r="N170" s="185"/>
      <c r="O170" s="659"/>
      <c r="P170" s="460"/>
      <c r="Q170" s="460"/>
      <c r="R170" s="460"/>
      <c r="S170" s="460"/>
    </row>
    <row r="171" spans="1:19">
      <c r="A171" s="460"/>
      <c r="B171" s="661"/>
      <c r="C171" s="185"/>
      <c r="D171" s="185"/>
      <c r="E171" s="185"/>
      <c r="F171" s="185"/>
      <c r="G171" s="186"/>
      <c r="H171" s="1264"/>
      <c r="I171" s="1264"/>
      <c r="J171" s="899"/>
      <c r="K171" s="311"/>
      <c r="L171" s="316"/>
      <c r="M171" s="316"/>
      <c r="N171" s="185"/>
      <c r="O171" s="659"/>
      <c r="P171" s="460"/>
      <c r="Q171" s="460"/>
      <c r="R171" s="460"/>
      <c r="S171" s="460"/>
    </row>
    <row r="172" spans="1:19">
      <c r="A172" s="460"/>
      <c r="B172" s="661"/>
      <c r="C172" s="185"/>
      <c r="D172" s="185"/>
      <c r="E172" s="185"/>
      <c r="F172" s="185"/>
      <c r="G172" s="186"/>
      <c r="H172" s="1264"/>
      <c r="I172" s="1264"/>
      <c r="J172" s="899"/>
      <c r="K172" s="311"/>
      <c r="L172" s="316"/>
      <c r="M172" s="316"/>
      <c r="N172" s="185"/>
      <c r="O172" s="659"/>
      <c r="P172" s="460"/>
      <c r="Q172" s="460"/>
      <c r="R172" s="460"/>
      <c r="S172" s="460"/>
    </row>
    <row r="173" spans="1:19">
      <c r="A173" s="460"/>
      <c r="B173" s="661"/>
      <c r="C173" s="185"/>
      <c r="D173" s="185"/>
      <c r="E173" s="185"/>
      <c r="F173" s="185"/>
      <c r="G173" s="186"/>
      <c r="H173" s="1264"/>
      <c r="I173" s="1264"/>
      <c r="J173" s="899"/>
      <c r="K173" s="311"/>
      <c r="L173" s="316"/>
      <c r="M173" s="316"/>
      <c r="N173" s="185"/>
      <c r="O173" s="659"/>
      <c r="P173" s="460"/>
      <c r="Q173" s="460"/>
      <c r="R173" s="460"/>
      <c r="S173" s="460"/>
    </row>
    <row r="174" spans="1:19">
      <c r="A174" s="460"/>
      <c r="B174" s="661"/>
      <c r="C174" s="185"/>
      <c r="D174" s="185"/>
      <c r="E174" s="185"/>
      <c r="F174" s="185"/>
      <c r="G174" s="186"/>
      <c r="H174" s="1264"/>
      <c r="I174" s="1264"/>
      <c r="J174" s="899"/>
      <c r="K174" s="311"/>
      <c r="L174" s="316"/>
      <c r="M174" s="316"/>
      <c r="N174" s="185"/>
      <c r="O174" s="659"/>
      <c r="P174" s="460"/>
      <c r="Q174" s="460"/>
      <c r="R174" s="460"/>
      <c r="S174" s="460"/>
    </row>
    <row r="175" spans="1:19">
      <c r="A175" s="460"/>
      <c r="B175" s="661"/>
      <c r="C175" s="185"/>
      <c r="D175" s="185"/>
      <c r="E175" s="185"/>
      <c r="F175" s="185"/>
      <c r="G175" s="186"/>
      <c r="H175" s="1264"/>
      <c r="I175" s="1264"/>
      <c r="J175" s="899"/>
      <c r="K175" s="311"/>
      <c r="L175" s="316"/>
      <c r="M175" s="316"/>
      <c r="N175" s="185"/>
      <c r="O175" s="659"/>
      <c r="P175" s="460"/>
      <c r="Q175" s="460"/>
      <c r="R175" s="460"/>
      <c r="S175" s="460"/>
    </row>
    <row r="176" spans="1:19">
      <c r="A176" s="460"/>
      <c r="B176" s="661"/>
      <c r="C176" s="185"/>
      <c r="D176" s="185"/>
      <c r="E176" s="185"/>
      <c r="F176" s="185"/>
      <c r="G176" s="186"/>
      <c r="H176" s="1264"/>
      <c r="I176" s="1264"/>
      <c r="J176" s="899"/>
      <c r="K176" s="311"/>
      <c r="L176" s="316"/>
      <c r="M176" s="316"/>
      <c r="N176" s="185"/>
      <c r="O176" s="659"/>
      <c r="P176" s="460"/>
      <c r="Q176" s="460"/>
      <c r="R176" s="460"/>
      <c r="S176" s="460"/>
    </row>
    <row r="177" spans="1:19">
      <c r="A177" s="460"/>
      <c r="B177" s="661"/>
      <c r="C177" s="185"/>
      <c r="D177" s="185"/>
      <c r="E177" s="185"/>
      <c r="F177" s="185"/>
      <c r="G177" s="186"/>
      <c r="H177" s="1264"/>
      <c r="I177" s="1264"/>
      <c r="J177" s="899"/>
      <c r="K177" s="311"/>
      <c r="L177" s="316"/>
      <c r="M177" s="316"/>
      <c r="N177" s="185"/>
      <c r="O177" s="659"/>
      <c r="P177" s="460"/>
      <c r="Q177" s="460"/>
      <c r="R177" s="460"/>
      <c r="S177" s="460"/>
    </row>
    <row r="178" spans="1:19">
      <c r="A178" s="460"/>
      <c r="B178" s="661"/>
      <c r="C178" s="185"/>
      <c r="D178" s="185"/>
      <c r="E178" s="185"/>
      <c r="F178" s="185"/>
      <c r="G178" s="186"/>
      <c r="H178" s="1264"/>
      <c r="I178" s="1264"/>
      <c r="J178" s="899"/>
      <c r="K178" s="311"/>
      <c r="L178" s="316"/>
      <c r="M178" s="316"/>
      <c r="N178" s="185"/>
      <c r="O178" s="659"/>
      <c r="P178" s="460"/>
      <c r="Q178" s="460"/>
      <c r="R178" s="460"/>
      <c r="S178" s="460"/>
    </row>
    <row r="179" spans="1:19">
      <c r="A179" s="460"/>
      <c r="B179" s="661"/>
      <c r="C179" s="185"/>
      <c r="D179" s="185"/>
      <c r="E179" s="185"/>
      <c r="F179" s="185"/>
      <c r="G179" s="186"/>
      <c r="H179" s="1264"/>
      <c r="I179" s="1264"/>
      <c r="J179" s="899"/>
      <c r="K179" s="311"/>
      <c r="L179" s="316"/>
      <c r="M179" s="316"/>
      <c r="N179" s="185"/>
      <c r="O179" s="659"/>
      <c r="P179" s="460"/>
      <c r="Q179" s="460"/>
      <c r="R179" s="460"/>
      <c r="S179" s="460"/>
    </row>
    <row r="180" spans="1:19">
      <c r="A180" s="460"/>
      <c r="B180" s="661"/>
      <c r="C180" s="185"/>
      <c r="D180" s="185"/>
      <c r="E180" s="185"/>
      <c r="F180" s="185"/>
      <c r="G180" s="186"/>
      <c r="H180" s="1264"/>
      <c r="I180" s="1264"/>
      <c r="J180" s="899"/>
      <c r="K180" s="311"/>
      <c r="L180" s="316"/>
      <c r="M180" s="316"/>
      <c r="N180" s="185"/>
      <c r="O180" s="659"/>
      <c r="P180" s="460"/>
      <c r="Q180" s="460"/>
      <c r="R180" s="460"/>
      <c r="S180" s="460"/>
    </row>
    <row r="181" spans="1:19">
      <c r="A181" s="460"/>
      <c r="B181" s="661"/>
      <c r="C181" s="185"/>
      <c r="D181" s="185"/>
      <c r="E181" s="185"/>
      <c r="F181" s="185"/>
      <c r="G181" s="186"/>
      <c r="H181" s="1264"/>
      <c r="I181" s="1264"/>
      <c r="J181" s="899"/>
      <c r="K181" s="311"/>
      <c r="L181" s="316"/>
      <c r="M181" s="316"/>
      <c r="N181" s="185"/>
      <c r="O181" s="659"/>
      <c r="P181" s="460"/>
      <c r="Q181" s="460"/>
      <c r="R181" s="460"/>
      <c r="S181" s="460"/>
    </row>
    <row r="182" spans="1:19">
      <c r="A182" s="460"/>
      <c r="B182" s="661"/>
      <c r="C182" s="185"/>
      <c r="D182" s="185"/>
      <c r="E182" s="185"/>
      <c r="F182" s="185"/>
      <c r="G182" s="186"/>
      <c r="H182" s="1264"/>
      <c r="I182" s="1264"/>
      <c r="J182" s="899"/>
      <c r="K182" s="311"/>
      <c r="L182" s="316"/>
      <c r="M182" s="316"/>
      <c r="N182" s="185"/>
      <c r="O182" s="659"/>
      <c r="P182" s="460"/>
      <c r="Q182" s="460"/>
      <c r="R182" s="460"/>
      <c r="S182" s="460"/>
    </row>
    <row r="183" spans="1:19">
      <c r="A183" s="460"/>
      <c r="B183" s="661"/>
      <c r="C183" s="185"/>
      <c r="D183" s="185"/>
      <c r="E183" s="185"/>
      <c r="F183" s="185"/>
      <c r="G183" s="186"/>
      <c r="H183" s="1264"/>
      <c r="I183" s="1264"/>
      <c r="J183" s="899"/>
      <c r="K183" s="311"/>
      <c r="L183" s="316"/>
      <c r="M183" s="316"/>
      <c r="N183" s="185"/>
      <c r="O183" s="659"/>
      <c r="P183" s="460"/>
      <c r="Q183" s="460"/>
      <c r="R183" s="460"/>
      <c r="S183" s="460"/>
    </row>
    <row r="184" spans="1:19">
      <c r="A184" s="460"/>
      <c r="B184" s="661"/>
      <c r="C184" s="185"/>
      <c r="D184" s="185"/>
      <c r="E184" s="185"/>
      <c r="F184" s="185"/>
      <c r="G184" s="186"/>
      <c r="H184" s="1264"/>
      <c r="I184" s="1264"/>
      <c r="J184" s="899"/>
      <c r="K184" s="311"/>
      <c r="L184" s="316"/>
      <c r="M184" s="316"/>
      <c r="N184" s="185"/>
      <c r="O184" s="659"/>
      <c r="P184" s="460"/>
      <c r="Q184" s="460"/>
      <c r="R184" s="460"/>
      <c r="S184" s="460"/>
    </row>
    <row r="185" spans="1:19">
      <c r="A185" s="460"/>
      <c r="B185" s="661"/>
      <c r="C185" s="185"/>
      <c r="D185" s="185"/>
      <c r="E185" s="185"/>
      <c r="F185" s="185"/>
      <c r="G185" s="186"/>
      <c r="H185" s="1264"/>
      <c r="I185" s="1264"/>
      <c r="J185" s="899"/>
      <c r="K185" s="311"/>
      <c r="L185" s="316"/>
      <c r="M185" s="316"/>
      <c r="N185" s="185"/>
      <c r="O185" s="659"/>
      <c r="P185" s="460"/>
      <c r="Q185" s="460"/>
      <c r="R185" s="460"/>
      <c r="S185" s="460"/>
    </row>
    <row r="186" spans="1:19">
      <c r="A186" s="460"/>
      <c r="B186" s="661"/>
      <c r="C186" s="185"/>
      <c r="D186" s="185"/>
      <c r="E186" s="185"/>
      <c r="F186" s="185"/>
      <c r="G186" s="186"/>
      <c r="H186" s="1264"/>
      <c r="I186" s="1264"/>
      <c r="J186" s="899"/>
      <c r="K186" s="311"/>
      <c r="L186" s="316"/>
      <c r="M186" s="316"/>
      <c r="N186" s="185"/>
      <c r="O186" s="659"/>
      <c r="P186" s="460"/>
      <c r="Q186" s="460"/>
      <c r="R186" s="460"/>
      <c r="S186" s="460"/>
    </row>
    <row r="187" spans="1:19">
      <c r="A187" s="460"/>
      <c r="B187" s="661"/>
      <c r="C187" s="185"/>
      <c r="D187" s="185"/>
      <c r="E187" s="185"/>
      <c r="F187" s="185"/>
      <c r="G187" s="186"/>
      <c r="H187" s="1264"/>
      <c r="I187" s="1264"/>
      <c r="J187" s="899"/>
      <c r="K187" s="311"/>
      <c r="L187" s="316"/>
      <c r="M187" s="316"/>
      <c r="N187" s="185"/>
      <c r="O187" s="659"/>
      <c r="P187" s="460"/>
      <c r="Q187" s="460"/>
      <c r="R187" s="460"/>
      <c r="S187" s="460"/>
    </row>
    <row r="188" spans="1:19">
      <c r="A188" s="460"/>
      <c r="B188" s="661"/>
      <c r="C188" s="185"/>
      <c r="D188" s="185"/>
      <c r="E188" s="185"/>
      <c r="F188" s="185"/>
      <c r="G188" s="186"/>
      <c r="H188" s="1264"/>
      <c r="I188" s="1264"/>
      <c r="J188" s="899"/>
      <c r="K188" s="311"/>
      <c r="L188" s="316"/>
      <c r="M188" s="316"/>
      <c r="N188" s="185"/>
      <c r="O188" s="659"/>
      <c r="P188" s="460"/>
      <c r="Q188" s="460"/>
      <c r="R188" s="460"/>
      <c r="S188" s="460"/>
    </row>
    <row r="189" spans="1:19">
      <c r="A189" s="460"/>
      <c r="B189" s="661"/>
      <c r="C189" s="185"/>
      <c r="D189" s="185"/>
      <c r="E189" s="185"/>
      <c r="F189" s="185"/>
      <c r="G189" s="186"/>
      <c r="H189" s="1264"/>
      <c r="I189" s="1264"/>
      <c r="J189" s="899"/>
      <c r="K189" s="311"/>
      <c r="L189" s="316"/>
      <c r="M189" s="316"/>
      <c r="N189" s="185"/>
      <c r="O189" s="659"/>
      <c r="P189" s="460"/>
      <c r="Q189" s="460"/>
      <c r="R189" s="460"/>
      <c r="S189" s="460"/>
    </row>
    <row r="190" spans="1:19">
      <c r="A190" s="460"/>
      <c r="B190" s="661"/>
      <c r="C190" s="185"/>
      <c r="D190" s="185"/>
      <c r="E190" s="185"/>
      <c r="F190" s="185"/>
      <c r="G190" s="186"/>
      <c r="H190" s="1264"/>
      <c r="I190" s="1264"/>
      <c r="J190" s="899"/>
      <c r="K190" s="311"/>
      <c r="L190" s="316"/>
      <c r="M190" s="316"/>
      <c r="N190" s="185"/>
      <c r="O190" s="659"/>
      <c r="P190" s="460"/>
      <c r="Q190" s="460"/>
      <c r="R190" s="460"/>
      <c r="S190" s="460"/>
    </row>
    <row r="191" spans="1:19">
      <c r="A191" s="460"/>
      <c r="B191" s="661"/>
      <c r="C191" s="185"/>
      <c r="D191" s="185"/>
      <c r="E191" s="185"/>
      <c r="F191" s="185"/>
      <c r="G191" s="186"/>
      <c r="H191" s="1264"/>
      <c r="I191" s="1264"/>
      <c r="J191" s="899"/>
      <c r="K191" s="311"/>
      <c r="L191" s="316"/>
      <c r="M191" s="316"/>
      <c r="N191" s="185"/>
      <c r="O191" s="659"/>
      <c r="P191" s="460"/>
      <c r="Q191" s="460"/>
      <c r="R191" s="460"/>
      <c r="S191" s="460"/>
    </row>
    <row r="192" spans="1:19">
      <c r="A192" s="460"/>
      <c r="B192" s="661"/>
      <c r="C192" s="185"/>
      <c r="D192" s="185"/>
      <c r="E192" s="185"/>
      <c r="F192" s="185"/>
      <c r="G192" s="186"/>
      <c r="H192" s="1264"/>
      <c r="I192" s="1264"/>
      <c r="J192" s="899"/>
      <c r="K192" s="311"/>
      <c r="L192" s="316"/>
      <c r="M192" s="316"/>
      <c r="N192" s="185"/>
      <c r="O192" s="659"/>
      <c r="P192" s="460"/>
      <c r="Q192" s="460"/>
      <c r="R192" s="460"/>
      <c r="S192" s="460"/>
    </row>
    <row r="193" spans="1:19">
      <c r="A193" s="460"/>
      <c r="B193" s="661"/>
      <c r="C193" s="185"/>
      <c r="D193" s="185"/>
      <c r="E193" s="185"/>
      <c r="F193" s="185"/>
      <c r="G193" s="186"/>
      <c r="H193" s="1264"/>
      <c r="I193" s="1264"/>
      <c r="J193" s="899"/>
      <c r="K193" s="311"/>
      <c r="L193" s="316"/>
      <c r="M193" s="316"/>
      <c r="N193" s="185"/>
      <c r="O193" s="659"/>
      <c r="P193" s="460"/>
      <c r="Q193" s="460"/>
      <c r="R193" s="460"/>
      <c r="S193" s="460"/>
    </row>
    <row r="194" spans="1:19">
      <c r="A194" s="460"/>
      <c r="B194" s="661"/>
      <c r="C194" s="185"/>
      <c r="D194" s="185"/>
      <c r="E194" s="185"/>
      <c r="F194" s="185"/>
      <c r="G194" s="186"/>
      <c r="H194" s="1264"/>
      <c r="I194" s="1264"/>
      <c r="J194" s="899"/>
      <c r="K194" s="311"/>
      <c r="L194" s="316"/>
      <c r="M194" s="316"/>
      <c r="N194" s="185"/>
      <c r="O194" s="659"/>
      <c r="P194" s="460"/>
      <c r="Q194" s="460"/>
      <c r="R194" s="460"/>
      <c r="S194" s="460"/>
    </row>
    <row r="195" spans="1:19">
      <c r="A195" s="460"/>
      <c r="B195" s="661"/>
      <c r="C195" s="185"/>
      <c r="D195" s="185"/>
      <c r="E195" s="185"/>
      <c r="F195" s="185"/>
      <c r="G195" s="186"/>
      <c r="H195" s="1264"/>
      <c r="I195" s="1264"/>
      <c r="J195" s="899"/>
      <c r="K195" s="311"/>
      <c r="L195" s="316"/>
      <c r="M195" s="316"/>
      <c r="N195" s="185"/>
      <c r="O195" s="659"/>
      <c r="P195" s="460"/>
      <c r="Q195" s="460"/>
      <c r="R195" s="460"/>
      <c r="S195" s="460"/>
    </row>
    <row r="196" spans="1:19">
      <c r="A196" s="460"/>
      <c r="B196" s="661"/>
      <c r="C196" s="185"/>
      <c r="D196" s="185"/>
      <c r="E196" s="185"/>
      <c r="F196" s="185"/>
      <c r="G196" s="186"/>
      <c r="H196" s="1264"/>
      <c r="I196" s="1264"/>
      <c r="J196" s="899"/>
      <c r="K196" s="311"/>
      <c r="L196" s="316"/>
      <c r="M196" s="316"/>
      <c r="N196" s="185"/>
      <c r="O196" s="659"/>
      <c r="P196" s="460"/>
      <c r="Q196" s="460"/>
      <c r="R196" s="460"/>
      <c r="S196" s="460"/>
    </row>
    <row r="197" spans="1:19">
      <c r="A197" s="460"/>
      <c r="B197" s="661"/>
      <c r="C197" s="185"/>
      <c r="D197" s="185"/>
      <c r="E197" s="185"/>
      <c r="F197" s="185"/>
      <c r="G197" s="186"/>
      <c r="H197" s="1264"/>
      <c r="I197" s="1264"/>
      <c r="J197" s="899"/>
      <c r="K197" s="311"/>
      <c r="L197" s="316"/>
      <c r="M197" s="316"/>
      <c r="N197" s="185"/>
      <c r="O197" s="659"/>
      <c r="P197" s="460"/>
      <c r="Q197" s="460"/>
      <c r="R197" s="460"/>
      <c r="S197" s="460"/>
    </row>
    <row r="198" spans="1:19">
      <c r="A198" s="460"/>
      <c r="B198" s="661"/>
      <c r="C198" s="185"/>
      <c r="D198" s="185"/>
      <c r="E198" s="185"/>
      <c r="F198" s="185"/>
      <c r="G198" s="186"/>
      <c r="H198" s="1264"/>
      <c r="I198" s="1264"/>
      <c r="J198" s="899"/>
      <c r="K198" s="311"/>
      <c r="L198" s="316"/>
      <c r="M198" s="316"/>
      <c r="N198" s="185"/>
      <c r="O198" s="659"/>
      <c r="P198" s="460"/>
      <c r="Q198" s="460"/>
      <c r="R198" s="460"/>
      <c r="S198" s="460"/>
    </row>
    <row r="199" spans="1:19">
      <c r="A199" s="460"/>
      <c r="B199" s="661"/>
      <c r="C199" s="185"/>
      <c r="D199" s="185"/>
      <c r="E199" s="185"/>
      <c r="F199" s="185"/>
      <c r="G199" s="186"/>
      <c r="H199" s="1264"/>
      <c r="I199" s="1264"/>
      <c r="J199" s="899"/>
      <c r="K199" s="311"/>
      <c r="L199" s="316"/>
      <c r="M199" s="316"/>
      <c r="N199" s="185"/>
      <c r="O199" s="659"/>
      <c r="P199" s="460"/>
      <c r="Q199" s="460"/>
      <c r="R199" s="460"/>
      <c r="S199" s="460"/>
    </row>
    <row r="200" spans="1:19">
      <c r="A200" s="460"/>
      <c r="B200" s="661"/>
      <c r="C200" s="185"/>
      <c r="D200" s="185"/>
      <c r="E200" s="185"/>
      <c r="F200" s="185"/>
      <c r="G200" s="186"/>
      <c r="H200" s="1264"/>
      <c r="I200" s="1264"/>
      <c r="J200" s="899"/>
      <c r="K200" s="311"/>
      <c r="L200" s="316"/>
      <c r="M200" s="316"/>
      <c r="N200" s="185"/>
      <c r="O200" s="659"/>
      <c r="P200" s="460"/>
      <c r="Q200" s="460"/>
      <c r="R200" s="460"/>
      <c r="S200" s="460"/>
    </row>
    <row r="201" spans="1:19">
      <c r="A201" s="460"/>
      <c r="B201" s="661"/>
      <c r="C201" s="185"/>
      <c r="D201" s="185"/>
      <c r="E201" s="185"/>
      <c r="F201" s="185"/>
      <c r="G201" s="186"/>
      <c r="H201" s="1264"/>
      <c r="I201" s="1264"/>
      <c r="J201" s="899"/>
      <c r="K201" s="311"/>
      <c r="L201" s="316"/>
      <c r="M201" s="316"/>
      <c r="N201" s="185"/>
      <c r="O201" s="659"/>
      <c r="P201" s="460"/>
      <c r="Q201" s="460"/>
      <c r="R201" s="460"/>
      <c r="S201" s="460"/>
    </row>
    <row r="202" spans="1:19">
      <c r="A202" s="460"/>
      <c r="B202" s="661"/>
      <c r="C202" s="185"/>
      <c r="D202" s="185"/>
      <c r="E202" s="185"/>
      <c r="F202" s="185"/>
      <c r="G202" s="186"/>
      <c r="H202" s="1264"/>
      <c r="I202" s="1264"/>
      <c r="J202" s="899"/>
      <c r="K202" s="311"/>
      <c r="L202" s="316"/>
      <c r="M202" s="316"/>
      <c r="N202" s="185"/>
      <c r="O202" s="659"/>
      <c r="P202" s="460"/>
      <c r="Q202" s="460"/>
      <c r="R202" s="460"/>
      <c r="S202" s="460"/>
    </row>
    <row r="203" spans="1:19">
      <c r="A203" s="460"/>
      <c r="B203" s="661"/>
      <c r="C203" s="185"/>
      <c r="D203" s="185"/>
      <c r="E203" s="185"/>
      <c r="F203" s="185"/>
      <c r="G203" s="186"/>
      <c r="H203" s="1264"/>
      <c r="I203" s="1264"/>
      <c r="J203" s="899"/>
      <c r="K203" s="311"/>
      <c r="L203" s="316"/>
      <c r="M203" s="316"/>
      <c r="N203" s="185"/>
      <c r="O203" s="659"/>
      <c r="P203" s="460"/>
      <c r="Q203" s="460"/>
      <c r="R203" s="460"/>
      <c r="S203" s="460"/>
    </row>
    <row r="204" spans="1:19">
      <c r="A204" s="460"/>
      <c r="B204" s="661"/>
      <c r="C204" s="185"/>
      <c r="D204" s="185"/>
      <c r="E204" s="185"/>
      <c r="F204" s="185"/>
      <c r="G204" s="186"/>
      <c r="H204" s="1264"/>
      <c r="I204" s="1264"/>
      <c r="J204" s="899"/>
      <c r="K204" s="311"/>
      <c r="L204" s="316"/>
      <c r="M204" s="316"/>
      <c r="N204" s="185"/>
      <c r="O204" s="659"/>
      <c r="P204" s="460"/>
      <c r="Q204" s="460"/>
      <c r="R204" s="460"/>
      <c r="S204" s="460"/>
    </row>
    <row r="205" spans="1:19">
      <c r="A205" s="460"/>
      <c r="B205" s="661"/>
      <c r="C205" s="185"/>
      <c r="D205" s="185"/>
      <c r="E205" s="185"/>
      <c r="F205" s="185"/>
      <c r="G205" s="186"/>
      <c r="H205" s="1264"/>
      <c r="I205" s="1264"/>
      <c r="J205" s="899"/>
      <c r="K205" s="311"/>
      <c r="L205" s="316"/>
      <c r="M205" s="316"/>
      <c r="N205" s="185"/>
      <c r="O205" s="659"/>
      <c r="P205" s="460"/>
      <c r="Q205" s="460"/>
      <c r="R205" s="460"/>
      <c r="S205" s="460"/>
    </row>
    <row r="206" spans="1:19">
      <c r="A206" s="460"/>
      <c r="B206" s="661"/>
      <c r="C206" s="185"/>
      <c r="D206" s="185"/>
      <c r="E206" s="185"/>
      <c r="F206" s="185"/>
      <c r="G206" s="186"/>
      <c r="H206" s="1264"/>
      <c r="I206" s="1264"/>
      <c r="J206" s="899"/>
      <c r="K206" s="311"/>
      <c r="L206" s="316"/>
      <c r="M206" s="316"/>
      <c r="N206" s="185"/>
      <c r="O206" s="659"/>
      <c r="P206" s="460"/>
      <c r="Q206" s="460"/>
      <c r="R206" s="460"/>
      <c r="S206" s="460"/>
    </row>
    <row r="207" spans="1:19">
      <c r="A207" s="460"/>
      <c r="B207" s="661"/>
      <c r="C207" s="185"/>
      <c r="D207" s="185"/>
      <c r="E207" s="185"/>
      <c r="F207" s="185"/>
      <c r="G207" s="186"/>
      <c r="H207" s="1264"/>
      <c r="I207" s="1264"/>
      <c r="J207" s="899"/>
      <c r="K207" s="311"/>
      <c r="L207" s="316"/>
      <c r="M207" s="316"/>
      <c r="N207" s="185"/>
      <c r="O207" s="659"/>
      <c r="P207" s="460"/>
      <c r="Q207" s="460"/>
      <c r="R207" s="460"/>
      <c r="S207" s="460"/>
    </row>
    <row r="208" spans="1:19">
      <c r="A208" s="460"/>
      <c r="B208" s="661"/>
      <c r="C208" s="185"/>
      <c r="D208" s="185"/>
      <c r="E208" s="185"/>
      <c r="F208" s="185"/>
      <c r="G208" s="186"/>
      <c r="H208" s="1264"/>
      <c r="I208" s="1264"/>
      <c r="J208" s="899"/>
      <c r="K208" s="311"/>
      <c r="L208" s="316"/>
      <c r="M208" s="316"/>
      <c r="N208" s="185"/>
      <c r="O208" s="659"/>
      <c r="P208" s="460"/>
      <c r="Q208" s="460"/>
      <c r="R208" s="460"/>
      <c r="S208" s="460"/>
    </row>
    <row r="209" spans="1:19">
      <c r="A209" s="460"/>
      <c r="B209" s="661"/>
      <c r="C209" s="185"/>
      <c r="D209" s="185"/>
      <c r="E209" s="185"/>
      <c r="F209" s="185"/>
      <c r="G209" s="186"/>
      <c r="H209" s="1264"/>
      <c r="I209" s="1264"/>
      <c r="J209" s="899"/>
      <c r="K209" s="311"/>
      <c r="L209" s="316"/>
      <c r="M209" s="316"/>
      <c r="N209" s="185"/>
      <c r="O209" s="659"/>
      <c r="P209" s="460"/>
      <c r="Q209" s="460"/>
      <c r="R209" s="460"/>
      <c r="S209" s="460"/>
    </row>
    <row r="210" spans="1:19">
      <c r="A210" s="460"/>
      <c r="B210" s="661"/>
      <c r="C210" s="185"/>
      <c r="D210" s="185"/>
      <c r="E210" s="185"/>
      <c r="F210" s="185"/>
      <c r="G210" s="186"/>
      <c r="H210" s="1264"/>
      <c r="I210" s="1264"/>
      <c r="J210" s="899"/>
      <c r="K210" s="311"/>
      <c r="L210" s="316"/>
      <c r="M210" s="316"/>
      <c r="N210" s="185"/>
      <c r="O210" s="659"/>
      <c r="P210" s="460"/>
      <c r="Q210" s="460"/>
      <c r="R210" s="460"/>
      <c r="S210" s="460"/>
    </row>
    <row r="211" spans="1:19">
      <c r="A211" s="460"/>
      <c r="B211" s="661"/>
      <c r="C211" s="185"/>
      <c r="D211" s="185"/>
      <c r="E211" s="185"/>
      <c r="F211" s="185"/>
      <c r="G211" s="186"/>
      <c r="H211" s="1264"/>
      <c r="I211" s="1264"/>
      <c r="J211" s="899"/>
      <c r="K211" s="311"/>
      <c r="L211" s="316"/>
      <c r="M211" s="316"/>
      <c r="N211" s="185"/>
      <c r="O211" s="659"/>
      <c r="P211" s="460"/>
      <c r="Q211" s="460"/>
      <c r="R211" s="460"/>
      <c r="S211" s="460"/>
    </row>
    <row r="212" spans="1:19">
      <c r="A212" s="460"/>
      <c r="B212" s="661"/>
      <c r="C212" s="185"/>
      <c r="D212" s="185"/>
      <c r="E212" s="185"/>
      <c r="F212" s="185"/>
      <c r="G212" s="186"/>
      <c r="H212" s="1264"/>
      <c r="I212" s="1264"/>
      <c r="J212" s="899"/>
      <c r="K212" s="311"/>
      <c r="L212" s="316"/>
      <c r="M212" s="316"/>
      <c r="N212" s="185"/>
      <c r="O212" s="659"/>
      <c r="P212" s="460"/>
      <c r="Q212" s="460"/>
      <c r="R212" s="460"/>
      <c r="S212" s="460"/>
    </row>
    <row r="213" spans="1:19">
      <c r="A213" s="460"/>
      <c r="B213" s="661"/>
      <c r="C213" s="185"/>
      <c r="D213" s="185"/>
      <c r="E213" s="185"/>
      <c r="F213" s="185"/>
      <c r="G213" s="186"/>
      <c r="H213" s="1264"/>
      <c r="I213" s="1264"/>
      <c r="J213" s="899"/>
      <c r="K213" s="311"/>
      <c r="L213" s="316"/>
      <c r="M213" s="316"/>
      <c r="N213" s="185"/>
      <c r="O213" s="659"/>
      <c r="P213" s="460"/>
      <c r="Q213" s="460"/>
      <c r="R213" s="460"/>
      <c r="S213" s="460"/>
    </row>
    <row r="214" spans="1:19">
      <c r="A214" s="460"/>
      <c r="B214" s="661"/>
      <c r="C214" s="185"/>
      <c r="D214" s="185"/>
      <c r="E214" s="185"/>
      <c r="F214" s="185"/>
      <c r="G214" s="186"/>
      <c r="H214" s="1264"/>
      <c r="I214" s="1264"/>
      <c r="J214" s="899"/>
      <c r="K214" s="311"/>
      <c r="L214" s="316"/>
      <c r="M214" s="316"/>
      <c r="N214" s="185"/>
      <c r="O214" s="659"/>
      <c r="P214" s="460"/>
      <c r="Q214" s="460"/>
      <c r="R214" s="460"/>
      <c r="S214" s="460"/>
    </row>
    <row r="215" spans="1:19">
      <c r="A215" s="460"/>
      <c r="B215" s="661"/>
      <c r="C215" s="185"/>
      <c r="D215" s="185"/>
      <c r="E215" s="185"/>
      <c r="F215" s="185"/>
      <c r="G215" s="186"/>
      <c r="H215" s="1264"/>
      <c r="I215" s="1264"/>
      <c r="J215" s="899"/>
      <c r="K215" s="311"/>
      <c r="L215" s="316"/>
      <c r="M215" s="316"/>
      <c r="N215" s="185"/>
      <c r="O215" s="659"/>
      <c r="P215" s="460"/>
      <c r="Q215" s="460"/>
      <c r="R215" s="460"/>
      <c r="S215" s="460"/>
    </row>
    <row r="216" spans="1:19">
      <c r="A216" s="460"/>
      <c r="B216" s="661"/>
      <c r="C216" s="185"/>
      <c r="D216" s="185"/>
      <c r="E216" s="185"/>
      <c r="F216" s="185"/>
      <c r="G216" s="186"/>
      <c r="H216" s="1264"/>
      <c r="I216" s="1264"/>
      <c r="J216" s="899"/>
      <c r="K216" s="311"/>
      <c r="L216" s="316"/>
      <c r="M216" s="316"/>
      <c r="N216" s="185"/>
      <c r="O216" s="659"/>
      <c r="P216" s="460"/>
      <c r="Q216" s="460"/>
      <c r="R216" s="460"/>
      <c r="S216" s="460"/>
    </row>
    <row r="217" spans="1:19">
      <c r="A217" s="460"/>
      <c r="B217" s="661"/>
      <c r="C217" s="185"/>
      <c r="D217" s="185"/>
      <c r="E217" s="185"/>
      <c r="F217" s="185"/>
      <c r="G217" s="186"/>
      <c r="H217" s="1264"/>
      <c r="I217" s="1264"/>
      <c r="J217" s="899"/>
      <c r="K217" s="311"/>
      <c r="L217" s="316"/>
      <c r="M217" s="316"/>
      <c r="N217" s="185"/>
      <c r="O217" s="659"/>
      <c r="P217" s="460"/>
      <c r="Q217" s="460"/>
      <c r="R217" s="460"/>
      <c r="S217" s="460"/>
    </row>
    <row r="218" spans="1:19">
      <c r="A218" s="460"/>
      <c r="B218" s="661"/>
      <c r="C218" s="185"/>
      <c r="D218" s="185"/>
      <c r="E218" s="185"/>
      <c r="F218" s="185"/>
      <c r="G218" s="186"/>
      <c r="H218" s="1264"/>
      <c r="I218" s="1264"/>
      <c r="J218" s="899"/>
      <c r="K218" s="311"/>
      <c r="L218" s="316"/>
      <c r="M218" s="316"/>
      <c r="N218" s="185"/>
      <c r="O218" s="659"/>
      <c r="P218" s="460"/>
      <c r="Q218" s="460"/>
      <c r="R218" s="460"/>
      <c r="S218" s="460"/>
    </row>
    <row r="219" spans="1:19">
      <c r="A219" s="460"/>
      <c r="B219" s="661"/>
      <c r="C219" s="185"/>
      <c r="D219" s="185"/>
      <c r="E219" s="185"/>
      <c r="F219" s="185"/>
      <c r="G219" s="186"/>
      <c r="H219" s="1264"/>
      <c r="I219" s="1264"/>
      <c r="J219" s="899"/>
      <c r="K219" s="311"/>
      <c r="L219" s="316"/>
      <c r="M219" s="316"/>
      <c r="N219" s="185"/>
      <c r="O219" s="659"/>
      <c r="P219" s="460"/>
      <c r="Q219" s="460"/>
      <c r="R219" s="460"/>
      <c r="S219" s="460"/>
    </row>
    <row r="220" spans="1:19">
      <c r="A220" s="460"/>
      <c r="B220" s="661"/>
      <c r="C220" s="185"/>
      <c r="D220" s="185"/>
      <c r="E220" s="185"/>
      <c r="F220" s="185"/>
      <c r="G220" s="186"/>
      <c r="H220" s="1264"/>
      <c r="I220" s="1264"/>
      <c r="J220" s="899"/>
      <c r="K220" s="311"/>
      <c r="L220" s="316"/>
      <c r="M220" s="316"/>
      <c r="N220" s="185"/>
      <c r="O220" s="659"/>
      <c r="P220" s="460"/>
      <c r="Q220" s="460"/>
      <c r="R220" s="460"/>
      <c r="S220" s="460"/>
    </row>
    <row r="221" spans="1:19">
      <c r="A221" s="460"/>
      <c r="B221" s="661"/>
      <c r="C221" s="185"/>
      <c r="D221" s="185"/>
      <c r="E221" s="185"/>
      <c r="F221" s="185"/>
      <c r="G221" s="186"/>
      <c r="H221" s="1264"/>
      <c r="I221" s="1264"/>
      <c r="J221" s="899"/>
      <c r="K221" s="311"/>
      <c r="L221" s="316"/>
      <c r="M221" s="316"/>
      <c r="N221" s="185"/>
      <c r="O221" s="659"/>
      <c r="P221" s="460"/>
      <c r="Q221" s="460"/>
      <c r="R221" s="460"/>
      <c r="S221" s="460"/>
    </row>
    <row r="222" spans="1:19">
      <c r="A222" s="460"/>
      <c r="B222" s="661"/>
      <c r="C222" s="185"/>
      <c r="D222" s="185"/>
      <c r="E222" s="185"/>
      <c r="F222" s="185"/>
      <c r="G222" s="186"/>
      <c r="H222" s="1264"/>
      <c r="I222" s="1264"/>
      <c r="J222" s="899"/>
      <c r="K222" s="311"/>
      <c r="L222" s="316"/>
      <c r="M222" s="316"/>
      <c r="N222" s="185"/>
      <c r="O222" s="659"/>
      <c r="P222" s="460"/>
      <c r="Q222" s="460"/>
      <c r="R222" s="460"/>
      <c r="S222" s="460"/>
    </row>
    <row r="223" spans="1:19">
      <c r="A223" s="460"/>
      <c r="B223" s="661"/>
      <c r="C223" s="185"/>
      <c r="D223" s="185"/>
      <c r="E223" s="185"/>
      <c r="F223" s="185"/>
      <c r="G223" s="186"/>
      <c r="H223" s="1264"/>
      <c r="I223" s="1264"/>
      <c r="J223" s="899"/>
      <c r="K223" s="311"/>
      <c r="L223" s="316"/>
      <c r="M223" s="316"/>
      <c r="N223" s="185"/>
      <c r="O223" s="659"/>
      <c r="P223" s="460"/>
      <c r="Q223" s="460"/>
      <c r="R223" s="460"/>
      <c r="S223" s="460"/>
    </row>
    <row r="224" spans="1:19">
      <c r="A224" s="460"/>
      <c r="B224" s="661"/>
      <c r="C224" s="185"/>
      <c r="D224" s="185"/>
      <c r="E224" s="185"/>
      <c r="F224" s="185"/>
      <c r="G224" s="186"/>
      <c r="H224" s="1264"/>
      <c r="I224" s="1264"/>
      <c r="J224" s="899"/>
      <c r="K224" s="311"/>
      <c r="L224" s="316"/>
      <c r="M224" s="316"/>
      <c r="N224" s="185"/>
      <c r="O224" s="659"/>
      <c r="P224" s="460"/>
      <c r="Q224" s="460"/>
      <c r="R224" s="460"/>
      <c r="S224" s="460"/>
    </row>
    <row r="225" spans="1:19">
      <c r="A225" s="460"/>
      <c r="B225" s="661"/>
      <c r="C225" s="185"/>
      <c r="D225" s="185"/>
      <c r="E225" s="185"/>
      <c r="F225" s="185"/>
      <c r="G225" s="186"/>
      <c r="H225" s="1264"/>
      <c r="I225" s="1264"/>
      <c r="J225" s="899"/>
      <c r="K225" s="311"/>
      <c r="L225" s="316"/>
      <c r="M225" s="316"/>
      <c r="N225" s="185"/>
      <c r="O225" s="659"/>
      <c r="P225" s="460"/>
      <c r="Q225" s="460"/>
      <c r="R225" s="460"/>
      <c r="S225" s="460"/>
    </row>
    <row r="226" spans="1:19">
      <c r="A226" s="460"/>
      <c r="B226" s="661"/>
      <c r="C226" s="185"/>
      <c r="D226" s="185"/>
      <c r="E226" s="185"/>
      <c r="F226" s="185"/>
      <c r="G226" s="186"/>
      <c r="H226" s="1264"/>
      <c r="I226" s="1264"/>
      <c r="J226" s="899"/>
      <c r="K226" s="311"/>
      <c r="L226" s="316"/>
      <c r="M226" s="316"/>
      <c r="N226" s="185"/>
      <c r="O226" s="659"/>
      <c r="P226" s="460"/>
      <c r="Q226" s="460"/>
      <c r="R226" s="460"/>
      <c r="S226" s="460"/>
    </row>
    <row r="227" spans="1:19">
      <c r="A227" s="460"/>
      <c r="B227" s="661"/>
      <c r="C227" s="185"/>
      <c r="D227" s="185"/>
      <c r="E227" s="185"/>
      <c r="F227" s="185"/>
      <c r="G227" s="186"/>
      <c r="H227" s="1264"/>
      <c r="I227" s="1264"/>
      <c r="J227" s="899"/>
      <c r="K227" s="311"/>
      <c r="L227" s="316"/>
      <c r="M227" s="316"/>
      <c r="N227" s="185"/>
      <c r="O227" s="659"/>
      <c r="P227" s="460"/>
      <c r="Q227" s="460"/>
      <c r="R227" s="460"/>
      <c r="S227" s="460"/>
    </row>
    <row r="228" spans="1:19">
      <c r="A228" s="460"/>
      <c r="B228" s="661"/>
      <c r="C228" s="185"/>
      <c r="D228" s="185"/>
      <c r="E228" s="185"/>
      <c r="F228" s="185"/>
      <c r="G228" s="186"/>
      <c r="H228" s="1264"/>
      <c r="I228" s="1264"/>
      <c r="J228" s="899"/>
      <c r="K228" s="311"/>
      <c r="L228" s="316"/>
      <c r="M228" s="316"/>
      <c r="N228" s="185"/>
      <c r="O228" s="659"/>
      <c r="P228" s="460"/>
      <c r="Q228" s="460"/>
      <c r="R228" s="460"/>
      <c r="S228" s="460"/>
    </row>
    <row r="229" spans="1:19">
      <c r="A229" s="460"/>
      <c r="B229" s="661"/>
      <c r="C229" s="185"/>
      <c r="D229" s="185"/>
      <c r="E229" s="185"/>
      <c r="F229" s="185"/>
      <c r="G229" s="186"/>
      <c r="H229" s="1264"/>
      <c r="I229" s="1264"/>
      <c r="J229" s="899"/>
      <c r="K229" s="311"/>
      <c r="L229" s="316"/>
      <c r="M229" s="316"/>
      <c r="N229" s="185"/>
      <c r="O229" s="659"/>
      <c r="P229" s="460"/>
      <c r="Q229" s="460"/>
      <c r="R229" s="460"/>
      <c r="S229" s="460"/>
    </row>
    <row r="230" spans="1:19">
      <c r="A230" s="460"/>
      <c r="B230" s="661"/>
      <c r="C230" s="185"/>
      <c r="D230" s="185"/>
      <c r="E230" s="185"/>
      <c r="F230" s="185"/>
      <c r="G230" s="186"/>
      <c r="H230" s="1264"/>
      <c r="I230" s="1264"/>
      <c r="J230" s="899"/>
      <c r="K230" s="311"/>
      <c r="L230" s="316"/>
      <c r="M230" s="316"/>
      <c r="N230" s="185"/>
      <c r="O230" s="659"/>
      <c r="P230" s="460"/>
      <c r="Q230" s="460"/>
      <c r="R230" s="460"/>
      <c r="S230" s="460"/>
    </row>
    <row r="231" spans="1:19">
      <c r="A231" s="460"/>
      <c r="B231" s="661"/>
      <c r="C231" s="185"/>
      <c r="D231" s="185"/>
      <c r="E231" s="185"/>
      <c r="F231" s="185"/>
      <c r="G231" s="186"/>
      <c r="H231" s="1264"/>
      <c r="I231" s="1264"/>
      <c r="J231" s="899"/>
      <c r="K231" s="311"/>
      <c r="L231" s="316"/>
      <c r="M231" s="316"/>
      <c r="N231" s="185"/>
      <c r="O231" s="659"/>
      <c r="P231" s="460"/>
      <c r="Q231" s="460"/>
      <c r="R231" s="460"/>
      <c r="S231" s="460"/>
    </row>
    <row r="232" spans="1:19">
      <c r="A232" s="460"/>
      <c r="B232" s="661"/>
      <c r="C232" s="185"/>
      <c r="D232" s="185"/>
      <c r="E232" s="185"/>
      <c r="F232" s="185"/>
      <c r="G232" s="186"/>
      <c r="H232" s="1264"/>
      <c r="I232" s="1264"/>
      <c r="J232" s="899"/>
      <c r="K232" s="311"/>
      <c r="L232" s="316"/>
      <c r="M232" s="316"/>
      <c r="N232" s="185"/>
      <c r="O232" s="659"/>
      <c r="P232" s="460"/>
      <c r="Q232" s="460"/>
      <c r="R232" s="460"/>
      <c r="S232" s="460"/>
    </row>
    <row r="233" spans="1:19">
      <c r="A233" s="460"/>
      <c r="B233" s="661"/>
      <c r="C233" s="185"/>
      <c r="D233" s="185"/>
      <c r="E233" s="185"/>
      <c r="F233" s="185"/>
      <c r="G233" s="186"/>
      <c r="H233" s="1264"/>
      <c r="I233" s="1264"/>
      <c r="J233" s="899"/>
      <c r="K233" s="311"/>
      <c r="L233" s="316"/>
      <c r="M233" s="316"/>
      <c r="N233" s="185"/>
      <c r="O233" s="659"/>
      <c r="P233" s="460"/>
      <c r="Q233" s="460"/>
      <c r="R233" s="460"/>
      <c r="S233" s="460"/>
    </row>
    <row r="234" spans="1:19">
      <c r="A234" s="460"/>
      <c r="B234" s="661"/>
      <c r="C234" s="185"/>
      <c r="D234" s="185"/>
      <c r="E234" s="185"/>
      <c r="F234" s="185"/>
      <c r="G234" s="186"/>
      <c r="H234" s="1264"/>
      <c r="I234" s="1264"/>
      <c r="J234" s="899"/>
      <c r="K234" s="311"/>
      <c r="L234" s="316"/>
      <c r="M234" s="316"/>
      <c r="N234" s="185"/>
      <c r="O234" s="659"/>
      <c r="P234" s="460"/>
      <c r="Q234" s="460"/>
      <c r="R234" s="460"/>
      <c r="S234" s="460"/>
    </row>
    <row r="235" spans="1:19">
      <c r="A235" s="460"/>
      <c r="B235" s="661"/>
      <c r="C235" s="185"/>
      <c r="D235" s="185"/>
      <c r="E235" s="185"/>
      <c r="F235" s="185"/>
      <c r="G235" s="186"/>
      <c r="H235" s="1264"/>
      <c r="I235" s="1264"/>
      <c r="J235" s="899"/>
      <c r="K235" s="311"/>
      <c r="L235" s="316"/>
      <c r="M235" s="316"/>
      <c r="N235" s="185"/>
      <c r="O235" s="659"/>
      <c r="P235" s="460"/>
      <c r="Q235" s="460"/>
      <c r="R235" s="460"/>
      <c r="S235" s="460"/>
    </row>
    <row r="236" spans="1:19">
      <c r="A236" s="460"/>
      <c r="B236" s="661"/>
      <c r="C236" s="185"/>
      <c r="D236" s="185"/>
      <c r="E236" s="185"/>
      <c r="F236" s="185"/>
      <c r="G236" s="186"/>
      <c r="H236" s="1264"/>
      <c r="I236" s="1264"/>
      <c r="J236" s="899"/>
      <c r="K236" s="311"/>
      <c r="L236" s="316"/>
      <c r="M236" s="316"/>
      <c r="N236" s="185"/>
      <c r="O236" s="659"/>
      <c r="P236" s="460"/>
      <c r="Q236" s="460"/>
      <c r="R236" s="460"/>
      <c r="S236" s="460"/>
    </row>
    <row r="237" spans="1:19">
      <c r="A237" s="460"/>
      <c r="B237" s="661"/>
      <c r="C237" s="185"/>
      <c r="D237" s="185"/>
      <c r="E237" s="185"/>
      <c r="F237" s="185"/>
      <c r="G237" s="186"/>
      <c r="H237" s="1264"/>
      <c r="I237" s="1264"/>
      <c r="J237" s="899"/>
      <c r="K237" s="311"/>
      <c r="L237" s="316"/>
      <c r="M237" s="316"/>
      <c r="N237" s="185"/>
      <c r="O237" s="659"/>
      <c r="P237" s="460"/>
      <c r="Q237" s="460"/>
      <c r="R237" s="460"/>
      <c r="S237" s="460"/>
    </row>
    <row r="238" spans="1:19">
      <c r="A238" s="460"/>
      <c r="B238" s="661"/>
      <c r="C238" s="185"/>
      <c r="D238" s="185"/>
      <c r="E238" s="185"/>
      <c r="F238" s="185"/>
      <c r="G238" s="186"/>
      <c r="H238" s="1264"/>
      <c r="I238" s="1264"/>
      <c r="J238" s="899"/>
      <c r="K238" s="311"/>
      <c r="L238" s="316"/>
      <c r="M238" s="316"/>
      <c r="N238" s="185"/>
      <c r="O238" s="659"/>
      <c r="P238" s="460"/>
      <c r="Q238" s="460"/>
      <c r="R238" s="460"/>
      <c r="S238" s="460"/>
    </row>
    <row r="239" spans="1:19">
      <c r="A239" s="460"/>
      <c r="B239" s="661"/>
      <c r="C239" s="185"/>
      <c r="D239" s="185"/>
      <c r="E239" s="185"/>
      <c r="F239" s="185"/>
      <c r="G239" s="186"/>
      <c r="H239" s="1264"/>
      <c r="I239" s="1264"/>
      <c r="J239" s="899"/>
      <c r="K239" s="311"/>
      <c r="L239" s="316"/>
      <c r="M239" s="316"/>
      <c r="N239" s="185"/>
      <c r="O239" s="659"/>
      <c r="P239" s="460"/>
      <c r="Q239" s="460"/>
      <c r="R239" s="460"/>
      <c r="S239" s="460"/>
    </row>
    <row r="240" spans="1:19">
      <c r="A240" s="460"/>
      <c r="B240" s="661"/>
      <c r="C240" s="185"/>
      <c r="D240" s="185"/>
      <c r="E240" s="185"/>
      <c r="F240" s="185"/>
      <c r="G240" s="186"/>
      <c r="H240" s="1264"/>
      <c r="I240" s="1264"/>
      <c r="J240" s="899"/>
      <c r="K240" s="311"/>
      <c r="L240" s="316"/>
      <c r="M240" s="316"/>
      <c r="N240" s="185"/>
      <c r="O240" s="659"/>
      <c r="P240" s="460"/>
      <c r="Q240" s="460"/>
      <c r="R240" s="460"/>
      <c r="S240" s="460"/>
    </row>
    <row r="241" spans="1:19">
      <c r="A241" s="460"/>
      <c r="B241" s="661"/>
      <c r="C241" s="185"/>
      <c r="D241" s="185"/>
      <c r="E241" s="185"/>
      <c r="F241" s="185"/>
      <c r="G241" s="186"/>
      <c r="H241" s="1264"/>
      <c r="I241" s="1264"/>
      <c r="J241" s="899"/>
      <c r="K241" s="311"/>
      <c r="L241" s="316"/>
      <c r="M241" s="316"/>
      <c r="N241" s="185"/>
      <c r="O241" s="659"/>
      <c r="P241" s="460"/>
      <c r="Q241" s="460"/>
      <c r="R241" s="460"/>
      <c r="S241" s="460"/>
    </row>
    <row r="242" spans="1:19">
      <c r="A242" s="460"/>
      <c r="B242" s="661"/>
      <c r="C242" s="185"/>
      <c r="D242" s="185"/>
      <c r="E242" s="185"/>
      <c r="F242" s="185"/>
      <c r="G242" s="186"/>
      <c r="H242" s="1264"/>
      <c r="I242" s="1264"/>
      <c r="J242" s="899"/>
      <c r="K242" s="311"/>
      <c r="L242" s="316"/>
      <c r="M242" s="316"/>
      <c r="N242" s="185"/>
      <c r="O242" s="659"/>
      <c r="P242" s="460"/>
      <c r="Q242" s="460"/>
      <c r="R242" s="460"/>
      <c r="S242" s="460"/>
    </row>
    <row r="243" spans="1:19">
      <c r="A243" s="460"/>
      <c r="B243" s="661"/>
      <c r="C243" s="185"/>
      <c r="D243" s="185"/>
      <c r="E243" s="185"/>
      <c r="F243" s="185"/>
      <c r="G243" s="186"/>
      <c r="H243" s="1264"/>
      <c r="I243" s="1264"/>
      <c r="J243" s="899"/>
      <c r="K243" s="311"/>
      <c r="L243" s="316"/>
      <c r="M243" s="316"/>
      <c r="N243" s="185"/>
      <c r="O243" s="659"/>
      <c r="P243" s="460"/>
      <c r="Q243" s="460"/>
      <c r="R243" s="460"/>
      <c r="S243" s="460"/>
    </row>
    <row r="244" spans="1:19">
      <c r="A244" s="460"/>
      <c r="B244" s="661"/>
      <c r="C244" s="185"/>
      <c r="D244" s="185"/>
      <c r="E244" s="185"/>
      <c r="F244" s="185"/>
      <c r="G244" s="186"/>
      <c r="H244" s="1264"/>
      <c r="I244" s="1264"/>
      <c r="J244" s="899"/>
      <c r="K244" s="311"/>
      <c r="L244" s="316"/>
      <c r="M244" s="316"/>
      <c r="N244" s="185"/>
      <c r="O244" s="659"/>
      <c r="P244" s="460"/>
      <c r="Q244" s="460"/>
      <c r="R244" s="460"/>
      <c r="S244" s="460"/>
    </row>
    <row r="245" spans="1:19">
      <c r="A245" s="460"/>
      <c r="B245" s="661"/>
      <c r="C245" s="185"/>
      <c r="D245" s="185"/>
      <c r="E245" s="185"/>
      <c r="F245" s="185"/>
      <c r="G245" s="186"/>
      <c r="H245" s="1264"/>
      <c r="I245" s="1264"/>
      <c r="J245" s="899"/>
      <c r="K245" s="311"/>
      <c r="L245" s="316"/>
      <c r="M245" s="316"/>
      <c r="N245" s="185"/>
      <c r="O245" s="659"/>
      <c r="P245" s="460"/>
      <c r="Q245" s="460"/>
      <c r="R245" s="460"/>
      <c r="S245" s="460"/>
    </row>
    <row r="246" spans="1:19">
      <c r="A246" s="460"/>
      <c r="B246" s="661"/>
      <c r="C246" s="185"/>
      <c r="D246" s="185"/>
      <c r="E246" s="185"/>
      <c r="F246" s="185"/>
      <c r="G246" s="186"/>
      <c r="H246" s="1264"/>
      <c r="I246" s="1264"/>
      <c r="J246" s="899"/>
      <c r="K246" s="311"/>
      <c r="L246" s="316"/>
      <c r="M246" s="316"/>
      <c r="N246" s="185"/>
      <c r="O246" s="659"/>
      <c r="P246" s="460"/>
      <c r="Q246" s="460"/>
      <c r="R246" s="460"/>
      <c r="S246" s="460"/>
    </row>
    <row r="247" spans="1:19">
      <c r="A247" s="460"/>
      <c r="B247" s="661"/>
      <c r="C247" s="185"/>
      <c r="D247" s="185"/>
      <c r="E247" s="185"/>
      <c r="F247" s="185"/>
      <c r="G247" s="186"/>
      <c r="H247" s="1264"/>
      <c r="I247" s="1264"/>
      <c r="J247" s="899"/>
      <c r="K247" s="311"/>
      <c r="L247" s="316"/>
      <c r="M247" s="316"/>
      <c r="N247" s="185"/>
      <c r="O247" s="659"/>
      <c r="P247" s="460"/>
      <c r="Q247" s="460"/>
      <c r="R247" s="460"/>
      <c r="S247" s="460"/>
    </row>
    <row r="248" spans="1:19">
      <c r="A248" s="460"/>
      <c r="B248" s="661"/>
      <c r="C248" s="185"/>
      <c r="D248" s="185"/>
      <c r="E248" s="185"/>
      <c r="F248" s="185"/>
      <c r="G248" s="186"/>
      <c r="H248" s="1264"/>
      <c r="I248" s="1264"/>
      <c r="J248" s="899"/>
      <c r="K248" s="311"/>
      <c r="L248" s="316"/>
      <c r="M248" s="316"/>
      <c r="N248" s="185"/>
      <c r="O248" s="659"/>
      <c r="P248" s="460"/>
      <c r="Q248" s="460"/>
      <c r="R248" s="460"/>
      <c r="S248" s="460"/>
    </row>
    <row r="249" spans="1:19">
      <c r="A249" s="460"/>
      <c r="B249" s="661"/>
      <c r="C249" s="185"/>
      <c r="D249" s="185"/>
      <c r="E249" s="185"/>
      <c r="F249" s="185"/>
      <c r="G249" s="186"/>
      <c r="H249" s="1264"/>
      <c r="I249" s="1264"/>
      <c r="J249" s="899"/>
      <c r="K249" s="311"/>
      <c r="L249" s="316"/>
      <c r="M249" s="316"/>
      <c r="N249" s="185"/>
      <c r="O249" s="659"/>
      <c r="P249" s="460"/>
      <c r="Q249" s="460"/>
      <c r="R249" s="460"/>
      <c r="S249" s="460"/>
    </row>
    <row r="250" spans="1:19">
      <c r="A250" s="460"/>
      <c r="B250" s="661"/>
      <c r="C250" s="185"/>
      <c r="D250" s="185"/>
      <c r="E250" s="185"/>
      <c r="F250" s="185"/>
      <c r="G250" s="186"/>
      <c r="H250" s="1264"/>
      <c r="I250" s="1264"/>
      <c r="J250" s="899"/>
      <c r="K250" s="311"/>
      <c r="L250" s="316"/>
      <c r="M250" s="316"/>
      <c r="N250" s="185"/>
      <c r="O250" s="659"/>
      <c r="P250" s="460"/>
      <c r="Q250" s="460"/>
      <c r="R250" s="460"/>
      <c r="S250" s="460"/>
    </row>
    <row r="251" spans="1:19">
      <c r="A251" s="460"/>
      <c r="B251" s="661"/>
      <c r="C251" s="185"/>
      <c r="D251" s="185"/>
      <c r="E251" s="185"/>
      <c r="F251" s="185"/>
      <c r="G251" s="186"/>
      <c r="H251" s="1264"/>
      <c r="I251" s="1264"/>
      <c r="J251" s="899"/>
      <c r="K251" s="311"/>
      <c r="L251" s="316"/>
      <c r="M251" s="316"/>
      <c r="N251" s="185"/>
      <c r="O251" s="659"/>
      <c r="P251" s="460"/>
      <c r="Q251" s="460"/>
      <c r="R251" s="460"/>
      <c r="S251" s="460"/>
    </row>
    <row r="252" spans="1:19">
      <c r="A252" s="460"/>
      <c r="B252" s="661"/>
      <c r="C252" s="185"/>
      <c r="D252" s="185"/>
      <c r="E252" s="185"/>
      <c r="F252" s="185"/>
      <c r="G252" s="186"/>
      <c r="H252" s="1264"/>
      <c r="I252" s="1264"/>
      <c r="J252" s="899"/>
      <c r="K252" s="311"/>
      <c r="L252" s="316"/>
      <c r="M252" s="316"/>
      <c r="N252" s="185"/>
      <c r="O252" s="659"/>
      <c r="P252" s="460"/>
      <c r="Q252" s="460"/>
      <c r="R252" s="460"/>
      <c r="S252" s="460"/>
    </row>
    <row r="253" spans="1:19">
      <c r="A253" s="460"/>
      <c r="B253" s="661"/>
      <c r="C253" s="185"/>
      <c r="D253" s="185"/>
      <c r="E253" s="185"/>
      <c r="F253" s="185"/>
      <c r="G253" s="186"/>
      <c r="H253" s="1264"/>
      <c r="I253" s="1264"/>
      <c r="J253" s="899"/>
      <c r="K253" s="311"/>
      <c r="L253" s="316"/>
      <c r="M253" s="316"/>
      <c r="N253" s="185"/>
      <c r="O253" s="659"/>
      <c r="P253" s="460"/>
      <c r="Q253" s="460"/>
      <c r="R253" s="460"/>
      <c r="S253" s="460"/>
    </row>
    <row r="254" spans="1:19">
      <c r="A254" s="460"/>
      <c r="B254" s="661"/>
      <c r="C254" s="185"/>
      <c r="D254" s="185"/>
      <c r="E254" s="185"/>
      <c r="F254" s="185"/>
      <c r="G254" s="186"/>
      <c r="H254" s="1264"/>
      <c r="I254" s="1264"/>
      <c r="J254" s="899"/>
      <c r="K254" s="311"/>
      <c r="L254" s="316"/>
      <c r="M254" s="316"/>
      <c r="N254" s="185"/>
      <c r="O254" s="659"/>
      <c r="P254" s="460"/>
      <c r="Q254" s="460"/>
      <c r="R254" s="460"/>
      <c r="S254" s="460"/>
    </row>
    <row r="255" spans="1:19">
      <c r="A255" s="460"/>
      <c r="B255" s="661"/>
      <c r="C255" s="185"/>
      <c r="D255" s="185"/>
      <c r="E255" s="185"/>
      <c r="F255" s="185"/>
      <c r="G255" s="186"/>
      <c r="H255" s="1264"/>
      <c r="I255" s="1264"/>
      <c r="J255" s="899"/>
      <c r="K255" s="311"/>
      <c r="L255" s="316"/>
      <c r="M255" s="316"/>
      <c r="N255" s="185"/>
      <c r="O255" s="659"/>
      <c r="P255" s="460"/>
      <c r="Q255" s="460"/>
      <c r="R255" s="460"/>
      <c r="S255" s="460"/>
    </row>
    <row r="256" spans="1:19">
      <c r="A256" s="460"/>
      <c r="B256" s="661"/>
      <c r="C256" s="185"/>
      <c r="D256" s="185"/>
      <c r="E256" s="185"/>
      <c r="F256" s="185"/>
      <c r="G256" s="186"/>
      <c r="H256" s="1264"/>
      <c r="I256" s="1264"/>
      <c r="J256" s="899"/>
      <c r="K256" s="311"/>
      <c r="L256" s="316"/>
      <c r="M256" s="316"/>
      <c r="N256" s="185"/>
      <c r="O256" s="659"/>
      <c r="P256" s="460"/>
      <c r="Q256" s="460"/>
      <c r="R256" s="460"/>
      <c r="S256" s="460"/>
    </row>
    <row r="257" spans="1:19">
      <c r="A257" s="460"/>
      <c r="B257" s="661"/>
      <c r="C257" s="185"/>
      <c r="D257" s="185"/>
      <c r="E257" s="185"/>
      <c r="F257" s="185"/>
      <c r="G257" s="186"/>
      <c r="H257" s="1264"/>
      <c r="I257" s="1264"/>
      <c r="J257" s="899"/>
      <c r="K257" s="311"/>
      <c r="L257" s="316"/>
      <c r="M257" s="316"/>
      <c r="N257" s="185"/>
      <c r="O257" s="659"/>
      <c r="P257" s="460"/>
      <c r="Q257" s="460"/>
      <c r="R257" s="460"/>
      <c r="S257" s="460"/>
    </row>
    <row r="258" spans="1:19">
      <c r="A258" s="460"/>
      <c r="B258" s="661"/>
      <c r="C258" s="185"/>
      <c r="D258" s="185"/>
      <c r="E258" s="185"/>
      <c r="F258" s="185"/>
      <c r="G258" s="186"/>
      <c r="H258" s="1264"/>
      <c r="I258" s="1264"/>
      <c r="J258" s="899"/>
      <c r="K258" s="311"/>
      <c r="L258" s="316"/>
      <c r="M258" s="316"/>
      <c r="N258" s="185"/>
      <c r="O258" s="659"/>
      <c r="P258" s="460"/>
      <c r="Q258" s="460"/>
      <c r="R258" s="460"/>
      <c r="S258" s="460"/>
    </row>
    <row r="259" spans="1:19">
      <c r="A259" s="460"/>
      <c r="B259" s="661"/>
      <c r="C259" s="185"/>
      <c r="D259" s="185"/>
      <c r="E259" s="185"/>
      <c r="F259" s="185"/>
      <c r="G259" s="186"/>
      <c r="H259" s="1264"/>
      <c r="I259" s="1264"/>
      <c r="J259" s="899"/>
      <c r="K259" s="311"/>
      <c r="L259" s="316"/>
      <c r="M259" s="316"/>
      <c r="N259" s="185"/>
      <c r="O259" s="659"/>
      <c r="P259" s="460"/>
      <c r="Q259" s="460"/>
      <c r="R259" s="460"/>
      <c r="S259" s="460"/>
    </row>
    <row r="260" spans="1:19">
      <c r="A260" s="460"/>
      <c r="B260" s="661"/>
      <c r="C260" s="185"/>
      <c r="D260" s="185"/>
      <c r="E260" s="185"/>
      <c r="F260" s="185"/>
      <c r="G260" s="186"/>
      <c r="H260" s="1264"/>
      <c r="I260" s="1264"/>
      <c r="J260" s="899"/>
      <c r="K260" s="311"/>
      <c r="L260" s="316"/>
      <c r="M260" s="316"/>
      <c r="N260" s="185"/>
      <c r="O260" s="659"/>
      <c r="P260" s="460"/>
      <c r="Q260" s="460"/>
      <c r="R260" s="460"/>
      <c r="S260" s="460"/>
    </row>
    <row r="261" spans="1:19">
      <c r="A261" s="460"/>
      <c r="B261" s="661"/>
      <c r="C261" s="185"/>
      <c r="D261" s="185"/>
      <c r="E261" s="185"/>
      <c r="F261" s="185"/>
      <c r="G261" s="186"/>
      <c r="H261" s="1264"/>
      <c r="I261" s="1264"/>
      <c r="J261" s="899"/>
      <c r="K261" s="311"/>
      <c r="L261" s="316"/>
      <c r="M261" s="316"/>
      <c r="N261" s="185"/>
      <c r="O261" s="659"/>
      <c r="P261" s="460"/>
      <c r="Q261" s="460"/>
      <c r="R261" s="460"/>
      <c r="S261" s="460"/>
    </row>
    <row r="262" spans="1:19">
      <c r="A262" s="460"/>
      <c r="B262" s="661"/>
      <c r="C262" s="185"/>
      <c r="D262" s="185"/>
      <c r="E262" s="185"/>
      <c r="F262" s="185"/>
      <c r="G262" s="186"/>
      <c r="H262" s="1264"/>
      <c r="I262" s="1264"/>
      <c r="J262" s="899"/>
      <c r="K262" s="311"/>
      <c r="L262" s="316"/>
      <c r="M262" s="316"/>
      <c r="N262" s="185"/>
      <c r="O262" s="659"/>
      <c r="P262" s="460"/>
      <c r="Q262" s="460"/>
      <c r="R262" s="460"/>
      <c r="S262" s="460"/>
    </row>
    <row r="263" spans="1:19">
      <c r="A263" s="460"/>
      <c r="B263" s="661"/>
      <c r="C263" s="185"/>
      <c r="D263" s="185"/>
      <c r="E263" s="185"/>
      <c r="F263" s="185"/>
      <c r="G263" s="186"/>
      <c r="H263" s="1264"/>
      <c r="I263" s="1264"/>
      <c r="J263" s="899"/>
      <c r="K263" s="311"/>
      <c r="L263" s="316"/>
      <c r="M263" s="316"/>
      <c r="N263" s="185"/>
      <c r="O263" s="659"/>
      <c r="P263" s="460"/>
      <c r="Q263" s="460"/>
      <c r="R263" s="460"/>
      <c r="S263" s="460"/>
    </row>
    <row r="264" spans="1:19">
      <c r="A264" s="460"/>
      <c r="B264" s="661"/>
      <c r="C264" s="185"/>
      <c r="D264" s="185"/>
      <c r="E264" s="185"/>
      <c r="F264" s="185"/>
      <c r="G264" s="186"/>
      <c r="H264" s="1264"/>
      <c r="I264" s="1264"/>
      <c r="J264" s="899"/>
      <c r="K264" s="311"/>
      <c r="L264" s="316"/>
      <c r="M264" s="316"/>
      <c r="N264" s="185"/>
      <c r="O264" s="659"/>
      <c r="P264" s="460"/>
      <c r="Q264" s="460"/>
      <c r="R264" s="460"/>
      <c r="S264" s="460"/>
    </row>
    <row r="265" spans="1:19">
      <c r="A265" s="460"/>
      <c r="B265" s="661"/>
      <c r="C265" s="185"/>
      <c r="D265" s="185"/>
      <c r="E265" s="185"/>
      <c r="F265" s="185"/>
      <c r="G265" s="186"/>
      <c r="H265" s="1264"/>
      <c r="I265" s="1264"/>
      <c r="J265" s="899"/>
      <c r="K265" s="311"/>
      <c r="L265" s="316"/>
      <c r="M265" s="316"/>
      <c r="N265" s="185"/>
      <c r="O265" s="659"/>
      <c r="P265" s="460"/>
      <c r="Q265" s="460"/>
      <c r="R265" s="460"/>
      <c r="S265" s="460"/>
    </row>
    <row r="266" spans="1:19">
      <c r="A266" s="460"/>
      <c r="B266" s="661"/>
      <c r="C266" s="185"/>
      <c r="D266" s="185"/>
      <c r="E266" s="185"/>
      <c r="F266" s="185"/>
      <c r="G266" s="186"/>
      <c r="H266" s="1264"/>
      <c r="I266" s="1264"/>
      <c r="J266" s="899"/>
      <c r="K266" s="311"/>
      <c r="L266" s="316"/>
      <c r="M266" s="316"/>
      <c r="N266" s="185"/>
      <c r="O266" s="659"/>
      <c r="P266" s="460"/>
      <c r="Q266" s="460"/>
      <c r="R266" s="460"/>
      <c r="S266" s="460"/>
    </row>
    <row r="267" spans="1:19">
      <c r="A267" s="460"/>
      <c r="B267" s="661"/>
      <c r="C267" s="185"/>
      <c r="D267" s="185"/>
      <c r="E267" s="185"/>
      <c r="F267" s="185"/>
      <c r="G267" s="186"/>
      <c r="H267" s="1264"/>
      <c r="I267" s="1264"/>
      <c r="J267" s="899"/>
      <c r="K267" s="311"/>
      <c r="L267" s="316"/>
      <c r="M267" s="316"/>
      <c r="N267" s="185"/>
      <c r="O267" s="659"/>
      <c r="P267" s="460"/>
      <c r="Q267" s="460"/>
      <c r="R267" s="460"/>
      <c r="S267" s="460"/>
    </row>
    <row r="268" spans="1:19">
      <c r="A268" s="460"/>
      <c r="B268" s="661"/>
      <c r="C268" s="185"/>
      <c r="D268" s="185"/>
      <c r="E268" s="185"/>
      <c r="F268" s="185"/>
      <c r="G268" s="186"/>
      <c r="H268" s="1264"/>
      <c r="I268" s="1264"/>
      <c r="J268" s="899"/>
      <c r="K268" s="311"/>
      <c r="L268" s="316"/>
      <c r="M268" s="316"/>
      <c r="N268" s="185"/>
      <c r="O268" s="659"/>
      <c r="P268" s="460"/>
      <c r="Q268" s="460"/>
      <c r="R268" s="460"/>
      <c r="S268" s="460"/>
    </row>
    <row r="269" spans="1:19">
      <c r="A269" s="460"/>
      <c r="B269" s="661"/>
      <c r="C269" s="185"/>
      <c r="D269" s="185"/>
      <c r="E269" s="185"/>
      <c r="F269" s="185"/>
      <c r="G269" s="186"/>
      <c r="H269" s="1264"/>
      <c r="I269" s="1264"/>
      <c r="J269" s="899"/>
      <c r="K269" s="311"/>
      <c r="L269" s="316"/>
      <c r="M269" s="316"/>
      <c r="N269" s="185"/>
      <c r="O269" s="659"/>
      <c r="P269" s="460"/>
      <c r="Q269" s="460"/>
      <c r="R269" s="460"/>
      <c r="S269" s="460"/>
    </row>
    <row r="270" spans="1:19">
      <c r="A270" s="460"/>
      <c r="B270" s="661"/>
      <c r="C270" s="185"/>
      <c r="D270" s="185"/>
      <c r="E270" s="185"/>
      <c r="F270" s="185"/>
      <c r="G270" s="186"/>
      <c r="H270" s="1264"/>
      <c r="I270" s="1264"/>
      <c r="J270" s="899"/>
      <c r="K270" s="311"/>
      <c r="L270" s="316"/>
      <c r="M270" s="316"/>
      <c r="N270" s="185"/>
      <c r="O270" s="659"/>
      <c r="P270" s="460"/>
      <c r="Q270" s="460"/>
      <c r="R270" s="460"/>
      <c r="S270" s="460"/>
    </row>
    <row r="271" spans="1:19">
      <c r="A271" s="460"/>
      <c r="B271" s="661"/>
      <c r="C271" s="185"/>
      <c r="D271" s="185"/>
      <c r="E271" s="185"/>
      <c r="F271" s="185"/>
      <c r="G271" s="186"/>
      <c r="H271" s="1264"/>
      <c r="I271" s="1264"/>
      <c r="J271" s="899"/>
      <c r="K271" s="311"/>
      <c r="L271" s="316"/>
      <c r="M271" s="316"/>
      <c r="N271" s="185"/>
      <c r="O271" s="659"/>
      <c r="P271" s="460"/>
      <c r="Q271" s="460"/>
      <c r="R271" s="460"/>
      <c r="S271" s="460"/>
    </row>
    <row r="272" spans="1:19">
      <c r="A272" s="460"/>
      <c r="B272" s="661"/>
      <c r="C272" s="185"/>
      <c r="D272" s="185"/>
      <c r="E272" s="185"/>
      <c r="F272" s="185"/>
      <c r="G272" s="186"/>
      <c r="H272" s="1264"/>
      <c r="I272" s="1264"/>
      <c r="J272" s="899"/>
      <c r="K272" s="311"/>
      <c r="L272" s="316"/>
      <c r="M272" s="316"/>
      <c r="N272" s="185"/>
      <c r="O272" s="659"/>
      <c r="P272" s="460"/>
      <c r="Q272" s="460"/>
      <c r="R272" s="460"/>
      <c r="S272" s="460"/>
    </row>
    <row r="273" spans="1:19">
      <c r="A273" s="460"/>
      <c r="B273" s="661"/>
      <c r="C273" s="185"/>
      <c r="D273" s="185"/>
      <c r="E273" s="185"/>
      <c r="F273" s="185"/>
      <c r="G273" s="186"/>
      <c r="H273" s="1264"/>
      <c r="I273" s="1264"/>
      <c r="J273" s="899"/>
      <c r="K273" s="311"/>
      <c r="L273" s="316"/>
      <c r="M273" s="316"/>
      <c r="N273" s="185"/>
      <c r="O273" s="659"/>
      <c r="P273" s="460"/>
      <c r="Q273" s="460"/>
      <c r="R273" s="460"/>
      <c r="S273" s="460"/>
    </row>
    <row r="274" spans="1:19">
      <c r="A274" s="460"/>
      <c r="B274" s="661"/>
      <c r="C274" s="185"/>
      <c r="D274" s="185"/>
      <c r="E274" s="185"/>
      <c r="F274" s="185"/>
      <c r="G274" s="186"/>
      <c r="H274" s="1264"/>
      <c r="I274" s="1264"/>
      <c r="J274" s="899"/>
      <c r="K274" s="311"/>
      <c r="L274" s="316"/>
      <c r="M274" s="316"/>
      <c r="N274" s="185"/>
      <c r="O274" s="659"/>
      <c r="P274" s="460"/>
      <c r="Q274" s="460"/>
      <c r="R274" s="460"/>
      <c r="S274" s="460"/>
    </row>
    <row r="275" spans="1:19">
      <c r="A275" s="460"/>
      <c r="B275" s="661"/>
      <c r="C275" s="185"/>
      <c r="D275" s="185"/>
      <c r="E275" s="185"/>
      <c r="F275" s="185"/>
      <c r="G275" s="186"/>
      <c r="H275" s="1264"/>
      <c r="I275" s="1264"/>
      <c r="J275" s="899"/>
      <c r="K275" s="311"/>
      <c r="L275" s="316"/>
      <c r="M275" s="316"/>
      <c r="N275" s="185"/>
      <c r="O275" s="659"/>
      <c r="P275" s="460"/>
      <c r="Q275" s="460"/>
      <c r="R275" s="460"/>
      <c r="S275" s="460"/>
    </row>
    <row r="276" spans="1:19">
      <c r="A276" s="460"/>
      <c r="B276" s="661"/>
      <c r="C276" s="185"/>
      <c r="D276" s="185"/>
      <c r="E276" s="185"/>
      <c r="F276" s="185"/>
      <c r="G276" s="186"/>
      <c r="H276" s="1264"/>
      <c r="I276" s="1264"/>
      <c r="J276" s="899"/>
      <c r="K276" s="311"/>
      <c r="L276" s="316"/>
      <c r="M276" s="316"/>
      <c r="N276" s="185"/>
      <c r="O276" s="659"/>
      <c r="P276" s="460"/>
      <c r="Q276" s="460"/>
      <c r="R276" s="460"/>
      <c r="S276" s="460"/>
    </row>
    <row r="277" spans="1:19">
      <c r="A277" s="460"/>
      <c r="B277" s="661"/>
      <c r="C277" s="185"/>
      <c r="D277" s="185"/>
      <c r="E277" s="185"/>
      <c r="F277" s="185"/>
      <c r="G277" s="186"/>
      <c r="H277" s="1264"/>
      <c r="I277" s="1264"/>
      <c r="J277" s="899"/>
      <c r="K277" s="311"/>
      <c r="L277" s="316"/>
      <c r="M277" s="316"/>
      <c r="N277" s="185"/>
      <c r="O277" s="659"/>
      <c r="P277" s="460"/>
      <c r="Q277" s="460"/>
      <c r="R277" s="460"/>
      <c r="S277" s="460"/>
    </row>
    <row r="278" spans="1:19">
      <c r="A278" s="460"/>
      <c r="B278" s="661"/>
      <c r="C278" s="185"/>
      <c r="D278" s="185"/>
      <c r="E278" s="185"/>
      <c r="F278" s="185"/>
      <c r="G278" s="186"/>
      <c r="H278" s="1264"/>
      <c r="I278" s="1264"/>
      <c r="J278" s="899"/>
      <c r="K278" s="311"/>
      <c r="L278" s="316"/>
      <c r="M278" s="316"/>
      <c r="N278" s="185"/>
      <c r="O278" s="659"/>
      <c r="P278" s="460"/>
      <c r="Q278" s="460"/>
      <c r="R278" s="460"/>
      <c r="S278" s="460"/>
    </row>
    <row r="279" spans="1:19">
      <c r="A279" s="460"/>
      <c r="B279" s="661"/>
      <c r="C279" s="185"/>
      <c r="D279" s="185"/>
      <c r="E279" s="185"/>
      <c r="F279" s="185"/>
      <c r="G279" s="186"/>
      <c r="H279" s="1264"/>
      <c r="I279" s="1264"/>
      <c r="J279" s="899"/>
      <c r="K279" s="311"/>
      <c r="L279" s="316"/>
      <c r="M279" s="316"/>
      <c r="N279" s="185"/>
      <c r="O279" s="659"/>
      <c r="P279" s="460"/>
      <c r="Q279" s="460"/>
      <c r="R279" s="460"/>
      <c r="S279" s="460"/>
    </row>
    <row r="280" spans="1:19">
      <c r="A280" s="460"/>
      <c r="B280" s="661"/>
      <c r="C280" s="185"/>
      <c r="D280" s="185"/>
      <c r="E280" s="185"/>
      <c r="F280" s="185"/>
      <c r="G280" s="186"/>
      <c r="H280" s="1264"/>
      <c r="I280" s="1264"/>
      <c r="J280" s="899"/>
      <c r="K280" s="311"/>
      <c r="L280" s="316"/>
      <c r="M280" s="316"/>
      <c r="N280" s="185"/>
      <c r="O280" s="659"/>
      <c r="P280" s="460"/>
      <c r="Q280" s="460"/>
      <c r="R280" s="460"/>
      <c r="S280" s="460"/>
    </row>
    <row r="281" spans="1:19">
      <c r="A281" s="460"/>
      <c r="B281" s="661"/>
      <c r="C281" s="185"/>
      <c r="D281" s="185"/>
      <c r="E281" s="185"/>
      <c r="F281" s="185"/>
      <c r="G281" s="186"/>
      <c r="H281" s="1264"/>
      <c r="I281" s="1264"/>
      <c r="J281" s="899"/>
      <c r="K281" s="311"/>
      <c r="L281" s="316"/>
      <c r="M281" s="316"/>
      <c r="N281" s="185"/>
      <c r="O281" s="659"/>
      <c r="P281" s="460"/>
      <c r="Q281" s="460"/>
      <c r="R281" s="460"/>
      <c r="S281" s="460"/>
    </row>
    <row r="282" spans="1:19">
      <c r="A282" s="460"/>
      <c r="B282" s="661"/>
      <c r="C282" s="185"/>
      <c r="D282" s="185"/>
      <c r="E282" s="185"/>
      <c r="F282" s="185"/>
      <c r="G282" s="186"/>
      <c r="H282" s="1264"/>
      <c r="I282" s="1264"/>
      <c r="J282" s="899"/>
      <c r="K282" s="311"/>
      <c r="L282" s="316"/>
      <c r="M282" s="316"/>
      <c r="N282" s="185"/>
      <c r="O282" s="659"/>
      <c r="P282" s="460"/>
      <c r="Q282" s="460"/>
      <c r="R282" s="460"/>
      <c r="S282" s="460"/>
    </row>
    <row r="283" spans="1:19">
      <c r="A283" s="460"/>
      <c r="B283" s="661"/>
      <c r="C283" s="185"/>
      <c r="D283" s="185"/>
      <c r="E283" s="185"/>
      <c r="F283" s="185"/>
      <c r="G283" s="186"/>
      <c r="H283" s="1264"/>
      <c r="I283" s="1264"/>
      <c r="J283" s="899"/>
      <c r="K283" s="311"/>
      <c r="L283" s="316"/>
      <c r="M283" s="316"/>
      <c r="N283" s="185"/>
      <c r="O283" s="659"/>
      <c r="P283" s="460"/>
      <c r="Q283" s="460"/>
      <c r="R283" s="460"/>
      <c r="S283" s="460"/>
    </row>
    <row r="284" spans="1:19">
      <c r="A284" s="460"/>
      <c r="B284" s="661"/>
      <c r="C284" s="185"/>
      <c r="D284" s="185"/>
      <c r="E284" s="185"/>
      <c r="F284" s="185"/>
      <c r="G284" s="186"/>
      <c r="H284" s="1264"/>
      <c r="I284" s="1264"/>
      <c r="J284" s="899"/>
      <c r="K284" s="311"/>
      <c r="L284" s="316"/>
      <c r="M284" s="316"/>
      <c r="N284" s="185"/>
      <c r="O284" s="659"/>
      <c r="P284" s="460"/>
      <c r="Q284" s="460"/>
      <c r="R284" s="460"/>
      <c r="S284" s="460"/>
    </row>
    <row r="285" spans="1:19">
      <c r="A285" s="460"/>
      <c r="B285" s="661"/>
      <c r="C285" s="185"/>
      <c r="D285" s="185"/>
      <c r="E285" s="185"/>
      <c r="F285" s="185"/>
      <c r="G285" s="186"/>
      <c r="H285" s="1264"/>
      <c r="I285" s="1264"/>
      <c r="J285" s="899"/>
      <c r="K285" s="311"/>
      <c r="L285" s="316"/>
      <c r="M285" s="316"/>
      <c r="N285" s="185"/>
      <c r="O285" s="659"/>
      <c r="P285" s="460"/>
      <c r="Q285" s="460"/>
      <c r="R285" s="460"/>
      <c r="S285" s="460"/>
    </row>
    <row r="286" spans="1:19">
      <c r="A286" s="460"/>
      <c r="B286" s="661"/>
      <c r="C286" s="185"/>
      <c r="D286" s="185"/>
      <c r="E286" s="185"/>
      <c r="F286" s="185"/>
      <c r="G286" s="186"/>
      <c r="H286" s="1264"/>
      <c r="I286" s="1264"/>
      <c r="J286" s="899"/>
      <c r="K286" s="311"/>
      <c r="L286" s="316"/>
      <c r="M286" s="316"/>
      <c r="N286" s="185"/>
      <c r="O286" s="659"/>
      <c r="P286" s="460"/>
      <c r="Q286" s="460"/>
      <c r="R286" s="460"/>
      <c r="S286" s="460"/>
    </row>
    <row r="287" spans="1:19">
      <c r="A287" s="460"/>
      <c r="B287" s="661"/>
      <c r="C287" s="185"/>
      <c r="D287" s="185"/>
      <c r="E287" s="185"/>
      <c r="F287" s="185"/>
      <c r="G287" s="186"/>
      <c r="H287" s="1264"/>
      <c r="I287" s="1264"/>
      <c r="J287" s="899"/>
      <c r="K287" s="311"/>
      <c r="L287" s="316"/>
      <c r="M287" s="316"/>
      <c r="N287" s="185"/>
      <c r="O287" s="659"/>
      <c r="P287" s="460"/>
      <c r="Q287" s="460"/>
      <c r="R287" s="460"/>
      <c r="S287" s="460"/>
    </row>
    <row r="288" spans="1:19">
      <c r="A288" s="460"/>
      <c r="B288" s="661"/>
      <c r="C288" s="185"/>
      <c r="D288" s="185"/>
      <c r="E288" s="185"/>
      <c r="F288" s="185"/>
      <c r="G288" s="186"/>
      <c r="H288" s="1264"/>
      <c r="I288" s="1264"/>
      <c r="J288" s="899"/>
      <c r="K288" s="311"/>
      <c r="L288" s="316"/>
      <c r="M288" s="316"/>
      <c r="N288" s="185"/>
      <c r="O288" s="659"/>
      <c r="P288" s="460"/>
      <c r="Q288" s="460"/>
      <c r="R288" s="460"/>
      <c r="S288" s="460"/>
    </row>
    <row r="289" spans="1:19">
      <c r="A289" s="460"/>
      <c r="B289" s="661"/>
      <c r="C289" s="185"/>
      <c r="D289" s="185"/>
      <c r="E289" s="185"/>
      <c r="F289" s="185"/>
      <c r="G289" s="186"/>
      <c r="H289" s="1264"/>
      <c r="I289" s="1264"/>
      <c r="J289" s="899"/>
      <c r="K289" s="311"/>
      <c r="L289" s="316"/>
      <c r="M289" s="316"/>
      <c r="N289" s="185"/>
      <c r="O289" s="659"/>
      <c r="P289" s="460"/>
      <c r="Q289" s="460"/>
      <c r="R289" s="460"/>
      <c r="S289" s="460"/>
    </row>
    <row r="290" spans="1:19">
      <c r="A290" s="460"/>
      <c r="B290" s="661"/>
      <c r="C290" s="185"/>
      <c r="D290" s="185"/>
      <c r="E290" s="185"/>
      <c r="F290" s="185"/>
      <c r="G290" s="186"/>
      <c r="H290" s="1264"/>
      <c r="I290" s="1264"/>
      <c r="J290" s="899"/>
      <c r="K290" s="311"/>
      <c r="L290" s="316"/>
      <c r="M290" s="316"/>
      <c r="N290" s="185"/>
      <c r="O290" s="659"/>
      <c r="P290" s="460"/>
      <c r="Q290" s="460"/>
      <c r="R290" s="460"/>
      <c r="S290" s="460"/>
    </row>
    <row r="291" spans="1:19">
      <c r="A291" s="460"/>
      <c r="B291" s="661"/>
      <c r="C291" s="185"/>
      <c r="D291" s="185"/>
      <c r="E291" s="185"/>
      <c r="F291" s="185"/>
      <c r="G291" s="186"/>
      <c r="H291" s="1264"/>
      <c r="I291" s="1264"/>
      <c r="J291" s="899"/>
      <c r="K291" s="311"/>
      <c r="L291" s="316"/>
      <c r="M291" s="316"/>
      <c r="N291" s="185"/>
      <c r="O291" s="659"/>
      <c r="P291" s="460"/>
      <c r="Q291" s="460"/>
      <c r="R291" s="460"/>
      <c r="S291" s="460"/>
    </row>
    <row r="292" spans="1:19">
      <c r="A292" s="460"/>
      <c r="B292" s="661"/>
      <c r="C292" s="185"/>
      <c r="D292" s="185"/>
      <c r="E292" s="185"/>
      <c r="F292" s="185"/>
      <c r="G292" s="186"/>
      <c r="H292" s="1264"/>
      <c r="I292" s="1264"/>
      <c r="J292" s="899"/>
      <c r="K292" s="311"/>
      <c r="L292" s="316"/>
      <c r="M292" s="316"/>
      <c r="N292" s="185"/>
      <c r="O292" s="659"/>
      <c r="P292" s="460"/>
      <c r="Q292" s="460"/>
      <c r="R292" s="460"/>
      <c r="S292" s="460"/>
    </row>
    <row r="293" spans="1:19">
      <c r="A293" s="460"/>
      <c r="B293" s="661"/>
      <c r="C293" s="185"/>
      <c r="D293" s="185"/>
      <c r="E293" s="185"/>
      <c r="F293" s="185"/>
      <c r="G293" s="186"/>
      <c r="H293" s="1264"/>
      <c r="I293" s="1264"/>
      <c r="J293" s="899"/>
      <c r="K293" s="311"/>
      <c r="L293" s="316"/>
      <c r="M293" s="316"/>
      <c r="N293" s="185"/>
      <c r="O293" s="659"/>
      <c r="P293" s="460"/>
      <c r="Q293" s="460"/>
      <c r="R293" s="460"/>
      <c r="S293" s="460"/>
    </row>
    <row r="294" spans="1:19">
      <c r="A294" s="460"/>
      <c r="B294" s="661"/>
      <c r="C294" s="185"/>
      <c r="D294" s="185"/>
      <c r="E294" s="185"/>
      <c r="F294" s="185"/>
      <c r="G294" s="186"/>
      <c r="H294" s="1264"/>
      <c r="I294" s="1264"/>
      <c r="J294" s="899"/>
      <c r="K294" s="311"/>
      <c r="L294" s="316"/>
      <c r="M294" s="316"/>
      <c r="N294" s="185"/>
      <c r="O294" s="659"/>
      <c r="P294" s="460"/>
      <c r="Q294" s="460"/>
      <c r="R294" s="460"/>
      <c r="S294" s="460"/>
    </row>
    <row r="295" spans="1:19">
      <c r="A295" s="460"/>
      <c r="B295" s="661"/>
      <c r="C295" s="185"/>
      <c r="D295" s="185"/>
      <c r="E295" s="185"/>
      <c r="F295" s="185"/>
      <c r="G295" s="186"/>
      <c r="H295" s="1264"/>
      <c r="I295" s="1264"/>
      <c r="J295" s="899"/>
      <c r="K295" s="311"/>
      <c r="L295" s="316"/>
      <c r="M295" s="316"/>
      <c r="N295" s="185"/>
      <c r="O295" s="659"/>
      <c r="P295" s="460"/>
      <c r="Q295" s="460"/>
      <c r="R295" s="460"/>
      <c r="S295" s="460"/>
    </row>
    <row r="296" spans="1:19">
      <c r="A296" s="460"/>
      <c r="B296" s="661"/>
      <c r="C296" s="185"/>
      <c r="D296" s="185"/>
      <c r="E296" s="185"/>
      <c r="F296" s="185"/>
      <c r="G296" s="186"/>
      <c r="H296" s="1264"/>
      <c r="I296" s="1264"/>
      <c r="J296" s="899"/>
      <c r="K296" s="311"/>
      <c r="L296" s="316"/>
      <c r="M296" s="316"/>
      <c r="N296" s="185"/>
      <c r="O296" s="659"/>
      <c r="P296" s="460"/>
      <c r="Q296" s="460"/>
      <c r="R296" s="460"/>
      <c r="S296" s="460"/>
    </row>
    <row r="297" spans="1:19">
      <c r="A297" s="460"/>
      <c r="B297" s="661"/>
      <c r="C297" s="185"/>
      <c r="D297" s="185"/>
      <c r="E297" s="185"/>
      <c r="F297" s="185"/>
      <c r="G297" s="186"/>
      <c r="H297" s="1264"/>
      <c r="I297" s="1264"/>
      <c r="J297" s="899"/>
      <c r="K297" s="311"/>
      <c r="L297" s="316"/>
      <c r="M297" s="316"/>
      <c r="N297" s="185"/>
      <c r="O297" s="659"/>
      <c r="P297" s="460"/>
      <c r="Q297" s="460"/>
      <c r="R297" s="460"/>
      <c r="S297" s="460"/>
    </row>
    <row r="298" spans="1:19">
      <c r="A298" s="460"/>
      <c r="B298" s="661"/>
      <c r="C298" s="185"/>
      <c r="D298" s="185"/>
      <c r="E298" s="185"/>
      <c r="F298" s="185"/>
      <c r="G298" s="186"/>
      <c r="H298" s="1264"/>
      <c r="I298" s="1264"/>
      <c r="J298" s="899"/>
      <c r="K298" s="311"/>
      <c r="L298" s="316"/>
      <c r="M298" s="316"/>
      <c r="N298" s="185"/>
      <c r="O298" s="659"/>
      <c r="P298" s="460"/>
      <c r="Q298" s="460"/>
      <c r="R298" s="460"/>
      <c r="S298" s="460"/>
    </row>
    <row r="299" spans="1:19">
      <c r="A299" s="460"/>
      <c r="B299" s="661"/>
      <c r="C299" s="185"/>
      <c r="D299" s="185"/>
      <c r="E299" s="185"/>
      <c r="F299" s="185"/>
      <c r="G299" s="186"/>
      <c r="H299" s="1264"/>
      <c r="I299" s="1264"/>
      <c r="J299" s="899"/>
      <c r="K299" s="311"/>
      <c r="L299" s="316"/>
      <c r="M299" s="316"/>
      <c r="N299" s="185"/>
      <c r="O299" s="659"/>
      <c r="P299" s="460"/>
      <c r="Q299" s="460"/>
      <c r="R299" s="460"/>
      <c r="S299" s="460"/>
    </row>
    <row r="300" spans="1:19">
      <c r="A300" s="460"/>
      <c r="B300" s="661"/>
      <c r="C300" s="185"/>
      <c r="D300" s="185"/>
      <c r="E300" s="185"/>
      <c r="F300" s="185"/>
      <c r="G300" s="186"/>
      <c r="H300" s="1264"/>
      <c r="I300" s="1264"/>
      <c r="J300" s="899"/>
      <c r="K300" s="311"/>
      <c r="L300" s="316"/>
      <c r="M300" s="316"/>
      <c r="N300" s="185"/>
      <c r="O300" s="659"/>
      <c r="P300" s="460"/>
      <c r="Q300" s="460"/>
      <c r="R300" s="460"/>
      <c r="S300" s="460"/>
    </row>
    <row r="301" spans="1:19">
      <c r="A301" s="460"/>
      <c r="B301" s="661"/>
      <c r="C301" s="185"/>
      <c r="D301" s="185"/>
      <c r="E301" s="185"/>
      <c r="F301" s="185"/>
      <c r="G301" s="186"/>
      <c r="H301" s="1264"/>
      <c r="I301" s="1264"/>
      <c r="J301" s="899"/>
      <c r="K301" s="311"/>
      <c r="L301" s="316"/>
      <c r="M301" s="316"/>
      <c r="N301" s="185"/>
      <c r="O301" s="659"/>
      <c r="P301" s="460"/>
      <c r="Q301" s="460"/>
      <c r="R301" s="460"/>
      <c r="S301" s="460"/>
    </row>
    <row r="302" spans="1:19">
      <c r="A302" s="460"/>
      <c r="B302" s="661"/>
      <c r="C302" s="185"/>
      <c r="D302" s="185"/>
      <c r="E302" s="185"/>
      <c r="F302" s="185"/>
      <c r="G302" s="186"/>
      <c r="H302" s="1264"/>
      <c r="I302" s="1264"/>
      <c r="J302" s="899"/>
      <c r="K302" s="311"/>
      <c r="L302" s="316"/>
      <c r="M302" s="316"/>
      <c r="N302" s="185"/>
      <c r="O302" s="659"/>
      <c r="P302" s="460"/>
      <c r="Q302" s="460"/>
      <c r="R302" s="460"/>
      <c r="S302" s="460"/>
    </row>
    <row r="303" spans="1:19">
      <c r="A303" s="460"/>
      <c r="B303" s="661"/>
      <c r="C303" s="185"/>
      <c r="D303" s="185"/>
      <c r="E303" s="185"/>
      <c r="F303" s="185"/>
      <c r="G303" s="186"/>
      <c r="H303" s="1264"/>
      <c r="I303" s="1264"/>
      <c r="J303" s="899"/>
      <c r="K303" s="311"/>
      <c r="L303" s="316"/>
      <c r="M303" s="316"/>
      <c r="N303" s="185"/>
      <c r="O303" s="659"/>
      <c r="P303" s="460"/>
      <c r="Q303" s="460"/>
      <c r="R303" s="460"/>
      <c r="S303" s="460"/>
    </row>
    <row r="304" spans="1:19">
      <c r="A304" s="460"/>
      <c r="B304" s="661"/>
      <c r="C304" s="185"/>
      <c r="D304" s="185"/>
      <c r="E304" s="185"/>
      <c r="F304" s="185"/>
      <c r="G304" s="186"/>
      <c r="H304" s="1264"/>
      <c r="I304" s="1264"/>
      <c r="J304" s="899"/>
      <c r="K304" s="311"/>
      <c r="L304" s="316"/>
      <c r="M304" s="316"/>
      <c r="N304" s="185"/>
      <c r="O304" s="659"/>
      <c r="P304" s="460"/>
      <c r="Q304" s="460"/>
      <c r="R304" s="460"/>
      <c r="S304" s="460"/>
    </row>
    <row r="305" spans="1:19">
      <c r="A305" s="460"/>
      <c r="B305" s="661"/>
      <c r="C305" s="185"/>
      <c r="D305" s="185"/>
      <c r="E305" s="185"/>
      <c r="F305" s="185"/>
      <c r="G305" s="186"/>
      <c r="H305" s="1264"/>
      <c r="I305" s="1264"/>
      <c r="J305" s="899"/>
      <c r="K305" s="311"/>
      <c r="L305" s="316"/>
      <c r="M305" s="316"/>
      <c r="N305" s="185"/>
      <c r="O305" s="659"/>
      <c r="P305" s="460"/>
      <c r="Q305" s="460"/>
      <c r="R305" s="460"/>
      <c r="S305" s="460"/>
    </row>
    <row r="306" spans="1:19">
      <c r="A306" s="460"/>
      <c r="B306" s="661"/>
      <c r="C306" s="185"/>
      <c r="D306" s="185"/>
      <c r="E306" s="185"/>
      <c r="F306" s="185"/>
      <c r="G306" s="186"/>
      <c r="H306" s="1264"/>
      <c r="I306" s="1264"/>
      <c r="J306" s="899"/>
      <c r="K306" s="311"/>
      <c r="L306" s="316"/>
      <c r="M306" s="316"/>
      <c r="N306" s="185"/>
      <c r="O306" s="659"/>
      <c r="P306" s="460"/>
      <c r="Q306" s="460"/>
      <c r="R306" s="460"/>
      <c r="S306" s="460"/>
    </row>
    <row r="307" spans="1:19">
      <c r="A307" s="460"/>
      <c r="B307" s="661"/>
      <c r="C307" s="185"/>
      <c r="D307" s="185"/>
      <c r="E307" s="185"/>
      <c r="F307" s="185"/>
      <c r="G307" s="186"/>
      <c r="H307" s="1264"/>
      <c r="I307" s="1264"/>
      <c r="J307" s="899"/>
      <c r="K307" s="311"/>
      <c r="L307" s="316"/>
      <c r="M307" s="316"/>
      <c r="N307" s="185"/>
      <c r="O307" s="659"/>
      <c r="P307" s="460"/>
      <c r="Q307" s="460"/>
      <c r="R307" s="460"/>
      <c r="S307" s="460"/>
    </row>
    <row r="308" spans="1:19">
      <c r="A308" s="460"/>
      <c r="B308" s="661"/>
      <c r="C308" s="185"/>
      <c r="D308" s="185"/>
      <c r="E308" s="185"/>
      <c r="F308" s="185"/>
      <c r="G308" s="186"/>
      <c r="H308" s="1264"/>
      <c r="I308" s="1264"/>
      <c r="J308" s="899"/>
      <c r="K308" s="311"/>
      <c r="L308" s="316"/>
      <c r="M308" s="316"/>
      <c r="N308" s="185"/>
      <c r="O308" s="659"/>
      <c r="P308" s="460"/>
      <c r="Q308" s="460"/>
      <c r="R308" s="460"/>
      <c r="S308" s="460"/>
    </row>
    <row r="309" spans="1:19">
      <c r="A309" s="460"/>
      <c r="B309" s="661"/>
      <c r="C309" s="185"/>
      <c r="D309" s="185"/>
      <c r="E309" s="185"/>
      <c r="F309" s="185"/>
      <c r="G309" s="186"/>
      <c r="H309" s="1264"/>
      <c r="I309" s="1264"/>
      <c r="J309" s="899"/>
      <c r="K309" s="311"/>
      <c r="L309" s="316"/>
      <c r="M309" s="316"/>
      <c r="N309" s="185"/>
      <c r="O309" s="659"/>
      <c r="P309" s="460"/>
      <c r="Q309" s="460"/>
      <c r="R309" s="460"/>
      <c r="S309" s="460"/>
    </row>
    <row r="310" spans="1:19">
      <c r="A310" s="460"/>
      <c r="B310" s="661"/>
      <c r="C310" s="185"/>
      <c r="D310" s="185"/>
      <c r="E310" s="185"/>
      <c r="F310" s="185"/>
      <c r="G310" s="186"/>
      <c r="H310" s="1264"/>
      <c r="I310" s="1264"/>
      <c r="J310" s="899"/>
      <c r="K310" s="311"/>
      <c r="L310" s="316"/>
      <c r="M310" s="316"/>
      <c r="N310" s="185"/>
      <c r="O310" s="659"/>
      <c r="P310" s="460"/>
      <c r="Q310" s="460"/>
      <c r="R310" s="460"/>
      <c r="S310" s="460"/>
    </row>
    <row r="311" spans="1:19">
      <c r="A311" s="460"/>
      <c r="B311" s="661"/>
      <c r="C311" s="185"/>
      <c r="D311" s="185"/>
      <c r="E311" s="185"/>
      <c r="F311" s="185"/>
      <c r="G311" s="186"/>
      <c r="H311" s="1264"/>
      <c r="I311" s="1264"/>
      <c r="J311" s="899"/>
      <c r="K311" s="311"/>
      <c r="L311" s="316"/>
      <c r="M311" s="316"/>
      <c r="N311" s="185"/>
      <c r="O311" s="659"/>
      <c r="P311" s="460"/>
      <c r="Q311" s="460"/>
      <c r="R311" s="460"/>
      <c r="S311" s="460"/>
    </row>
    <row r="312" spans="1:19">
      <c r="A312" s="460"/>
      <c r="B312" s="661"/>
      <c r="C312" s="185"/>
      <c r="D312" s="185"/>
      <c r="E312" s="185"/>
      <c r="F312" s="185"/>
      <c r="G312" s="186"/>
      <c r="H312" s="1264"/>
      <c r="I312" s="1264"/>
      <c r="J312" s="899"/>
      <c r="K312" s="311"/>
      <c r="L312" s="316"/>
      <c r="M312" s="316"/>
      <c r="N312" s="185"/>
      <c r="O312" s="659"/>
      <c r="P312" s="460"/>
      <c r="Q312" s="460"/>
      <c r="R312" s="460"/>
      <c r="S312" s="460"/>
    </row>
    <row r="313" spans="1:19">
      <c r="A313" s="460"/>
      <c r="B313" s="661"/>
      <c r="C313" s="185"/>
      <c r="D313" s="185"/>
      <c r="E313" s="185"/>
      <c r="F313" s="185"/>
      <c r="G313" s="186"/>
      <c r="H313" s="1264"/>
      <c r="I313" s="1264"/>
      <c r="J313" s="899"/>
      <c r="K313" s="311"/>
      <c r="L313" s="316"/>
      <c r="M313" s="316"/>
      <c r="N313" s="185"/>
      <c r="O313" s="659"/>
      <c r="P313" s="460"/>
      <c r="Q313" s="460"/>
      <c r="R313" s="460"/>
      <c r="S313" s="460"/>
    </row>
  </sheetData>
  <mergeCells count="17">
    <mergeCell ref="B2:P2"/>
    <mergeCell ref="B3:P3"/>
    <mergeCell ref="B4:P4"/>
    <mergeCell ref="J11:O11"/>
    <mergeCell ref="E11:H11"/>
    <mergeCell ref="K55:L55"/>
    <mergeCell ref="M55:N55"/>
    <mergeCell ref="C7:L8"/>
    <mergeCell ref="E10:H10"/>
    <mergeCell ref="J10:O10"/>
    <mergeCell ref="M12:N12"/>
    <mergeCell ref="J53:O53"/>
    <mergeCell ref="B51:P51"/>
    <mergeCell ref="J54:O54"/>
    <mergeCell ref="E54:H54"/>
    <mergeCell ref="D49:M49"/>
    <mergeCell ref="D50:M50"/>
  </mergeCells>
  <dataValidations count="2">
    <dataValidation allowBlank="1" showInputMessage="1" showErrorMessage="1" prompt="Explain in detail in the Notes (Attachment 18)." sqref="H88"/>
    <dataValidation allowBlank="1" showInputMessage="1" showErrorMessage="1" error="Enter only a number" prompt="Use numbers only.  Do not use a % sign or any other text in this box. " sqref="D91"/>
  </dataValidations>
  <printOptions horizontalCentered="1"/>
  <pageMargins left="0.25" right="0.25" top="0.5" bottom="0.5" header="0" footer="0"/>
  <pageSetup scale="65" orientation="landscape" blackAndWhite="1" r:id="rId1"/>
  <headerFooter alignWithMargins="0"/>
  <rowBreaks count="1" manualBreakCount="1">
    <brk id="47" max="16383" man="1"/>
  </rowBreaks>
  <ignoredErrors>
    <ignoredError sqref="K91" unlockedFormula="1"/>
  </ignoredErrors>
  <legacyDrawing r:id="rId2"/>
</worksheet>
</file>

<file path=xl/worksheets/sheet26.xml><?xml version="1.0" encoding="utf-8"?>
<worksheet xmlns="http://schemas.openxmlformats.org/spreadsheetml/2006/main" xmlns:r="http://schemas.openxmlformats.org/officeDocument/2006/relationships">
  <sheetPr codeName="Sheet14">
    <pageSetUpPr fitToPage="1"/>
  </sheetPr>
  <dimension ref="A1:O228"/>
  <sheetViews>
    <sheetView showGridLines="0" zoomScale="85" zoomScaleNormal="85" workbookViewId="0">
      <selection activeCell="F22" sqref="F22"/>
    </sheetView>
  </sheetViews>
  <sheetFormatPr defaultRowHeight="12.75"/>
  <cols>
    <col min="1" max="1" width="9.140625" style="28"/>
    <col min="2" max="4" width="10.28515625" style="91" customWidth="1"/>
    <col min="5" max="5" width="6.28515625" style="91" customWidth="1"/>
    <col min="6" max="6" width="12" style="91" customWidth="1"/>
    <col min="7" max="7" width="11" style="91" customWidth="1"/>
    <col min="8" max="8" width="7.140625" style="91" customWidth="1"/>
    <col min="9" max="9" width="15.28515625" style="91" customWidth="1"/>
    <col min="10" max="10" width="14" style="91" customWidth="1"/>
    <col min="11" max="11" width="14.7109375" style="91" customWidth="1"/>
    <col min="12" max="12" width="17.7109375" style="91" customWidth="1"/>
    <col min="13" max="16384" width="9.140625" style="28"/>
  </cols>
  <sheetData>
    <row r="1" spans="1:15">
      <c r="A1" s="460"/>
      <c r="B1" s="714" t="str">
        <f>TestYear &amp; " Test Year"</f>
        <v>2015 Test Year</v>
      </c>
      <c r="C1" s="671"/>
      <c r="D1" s="1110"/>
      <c r="E1" s="671"/>
      <c r="F1" s="671"/>
      <c r="G1" s="671"/>
      <c r="H1" s="671"/>
      <c r="I1" s="671"/>
      <c r="J1" s="671"/>
      <c r="K1" s="671"/>
      <c r="L1" s="666" t="s">
        <v>672</v>
      </c>
      <c r="M1" s="460"/>
      <c r="N1" s="460"/>
      <c r="O1" s="460"/>
    </row>
    <row r="2" spans="1:15">
      <c r="A2" s="460"/>
      <c r="B2" s="671"/>
      <c r="C2" s="671"/>
      <c r="D2" s="671"/>
      <c r="E2" s="671"/>
      <c r="F2" s="671"/>
      <c r="G2" s="671"/>
      <c r="H2" s="671"/>
      <c r="I2" s="671"/>
      <c r="J2" s="671"/>
      <c r="K2" s="671"/>
      <c r="L2" s="665"/>
      <c r="M2" s="460"/>
      <c r="N2" s="460"/>
      <c r="O2" s="460"/>
    </row>
    <row r="3" spans="1:15">
      <c r="A3" s="460"/>
      <c r="B3" s="822"/>
      <c r="C3" s="2050" t="str">
        <f>Utility</f>
        <v>MADISON WATER UTILITY</v>
      </c>
      <c r="D3" s="2051"/>
      <c r="E3" s="2051"/>
      <c r="F3" s="2051"/>
      <c r="G3" s="2051"/>
      <c r="H3" s="2051"/>
      <c r="I3" s="2051"/>
      <c r="J3" s="2051"/>
      <c r="K3" s="2051"/>
      <c r="L3" s="665"/>
      <c r="M3" s="460"/>
      <c r="N3" s="460"/>
      <c r="O3" s="460"/>
    </row>
    <row r="4" spans="1:15">
      <c r="A4" s="460"/>
      <c r="B4" s="822"/>
      <c r="C4" s="822"/>
      <c r="D4" s="671"/>
      <c r="E4" s="1001"/>
      <c r="F4" s="1040"/>
      <c r="G4" s="1040"/>
      <c r="H4" s="1111"/>
      <c r="I4" s="1111"/>
      <c r="J4" s="1111"/>
      <c r="K4" s="1040"/>
      <c r="L4" s="665"/>
      <c r="M4" s="460"/>
      <c r="N4" s="460"/>
      <c r="O4" s="460"/>
    </row>
    <row r="5" spans="1:15" ht="13.5" thickBot="1">
      <c r="A5" s="460"/>
      <c r="B5" s="822"/>
      <c r="C5" s="822"/>
      <c r="D5" s="822"/>
      <c r="E5" s="822"/>
      <c r="F5" s="822"/>
      <c r="G5" s="671" t="str">
        <f>CONCATENATE("Estimated for Test Year ",TestYear)</f>
        <v>Estimated for Test Year 2015</v>
      </c>
      <c r="H5" s="822"/>
      <c r="I5" s="822"/>
      <c r="J5" s="822"/>
      <c r="K5" s="822"/>
      <c r="L5" s="665"/>
      <c r="M5" s="460"/>
      <c r="N5" s="460"/>
      <c r="O5" s="460"/>
    </row>
    <row r="6" spans="1:15" ht="15.75" thickTop="1">
      <c r="A6" s="460"/>
      <c r="B6" s="1079"/>
      <c r="C6" s="1080"/>
      <c r="D6" s="1081"/>
      <c r="E6" s="1081"/>
      <c r="F6" s="1081"/>
      <c r="G6" s="1081"/>
      <c r="H6" s="1082"/>
      <c r="I6" s="1082"/>
      <c r="J6" s="1082"/>
      <c r="K6" s="1081"/>
      <c r="L6" s="1083" t="s">
        <v>396</v>
      </c>
      <c r="M6" s="500"/>
      <c r="N6" s="460"/>
      <c r="O6" s="460"/>
    </row>
    <row r="7" spans="1:15" ht="15">
      <c r="A7" s="460"/>
      <c r="B7" s="1084" t="s">
        <v>673</v>
      </c>
      <c r="C7" s="682"/>
      <c r="D7" s="740"/>
      <c r="E7" s="740"/>
      <c r="F7" s="740"/>
      <c r="G7" s="740"/>
      <c r="H7" s="740"/>
      <c r="I7" s="1085" t="s">
        <v>674</v>
      </c>
      <c r="J7" s="1086" t="s">
        <v>661</v>
      </c>
      <c r="K7" s="1087" t="s">
        <v>253</v>
      </c>
      <c r="L7" s="1086" t="s">
        <v>675</v>
      </c>
      <c r="M7" s="1100"/>
      <c r="N7" s="460"/>
      <c r="O7" s="460"/>
    </row>
    <row r="8" spans="1:15" ht="16.5" customHeight="1">
      <c r="A8" s="460"/>
      <c r="B8" s="1088"/>
      <c r="C8" s="698" t="str">
        <f>CONCATENATE("January 1, ",TestYear-1," Balance")</f>
        <v>January 1, 2014 Balance</v>
      </c>
      <c r="D8" s="698"/>
      <c r="E8" s="698"/>
      <c r="F8" s="2048" t="str">
        <f>CONCATENATE("(",Data!H5,")")</f>
        <v>(Estimated)</v>
      </c>
      <c r="G8" s="2049"/>
      <c r="H8" s="1089"/>
      <c r="I8" s="1101"/>
      <c r="J8" s="1101"/>
      <c r="K8" s="1090">
        <f>Data!B165</f>
        <v>41038994</v>
      </c>
      <c r="L8" s="1102"/>
      <c r="M8" s="1100"/>
      <c r="N8" s="460"/>
      <c r="O8" s="460"/>
    </row>
    <row r="9" spans="1:15" ht="14.25">
      <c r="A9" s="460"/>
      <c r="B9" s="1088"/>
      <c r="C9" s="698" t="s">
        <v>676</v>
      </c>
      <c r="D9" s="698" t="s">
        <v>677</v>
      </c>
      <c r="E9" s="698"/>
      <c r="F9" s="2048" t="s">
        <v>678</v>
      </c>
      <c r="G9" s="2049"/>
      <c r="H9" s="694" t="s">
        <v>487</v>
      </c>
      <c r="I9" s="1103"/>
      <c r="J9" s="1103"/>
      <c r="K9" s="1054">
        <f>Attach12!H90</f>
        <v>5294711.9440000001</v>
      </c>
      <c r="L9" s="1102"/>
      <c r="M9" s="1100"/>
      <c r="N9" s="460"/>
      <c r="O9" s="460"/>
    </row>
    <row r="10" spans="1:15" ht="14.25">
      <c r="A10" s="460"/>
      <c r="B10" s="1088"/>
      <c r="C10" s="698"/>
      <c r="D10" s="698" t="s">
        <v>679</v>
      </c>
      <c r="E10" s="698"/>
      <c r="F10" s="2048" t="str">
        <f>F8</f>
        <v>(Estimated)</v>
      </c>
      <c r="G10" s="2049"/>
      <c r="H10" s="694"/>
      <c r="I10" s="1101"/>
      <c r="J10" s="1832">
        <f>Data!E165</f>
        <v>0</v>
      </c>
      <c r="K10" s="1054">
        <f>J10</f>
        <v>0</v>
      </c>
      <c r="L10" s="1102"/>
      <c r="M10" s="1100"/>
      <c r="N10" s="460"/>
      <c r="O10" s="460"/>
    </row>
    <row r="11" spans="1:15" ht="15">
      <c r="A11" s="460"/>
      <c r="B11" s="1088"/>
      <c r="C11" s="1066" t="s">
        <v>680</v>
      </c>
      <c r="D11" s="698" t="s">
        <v>583</v>
      </c>
      <c r="E11" s="698"/>
      <c r="F11" s="2048" t="s">
        <v>653</v>
      </c>
      <c r="G11" s="2049"/>
      <c r="H11" s="694" t="s">
        <v>489</v>
      </c>
      <c r="I11" s="1103"/>
      <c r="J11" s="1103"/>
      <c r="K11" s="1054">
        <f>Attach11!F87-Attach11!F16-Attach11!F19-Attach11!F30-Attach11!F40-Attach11!F59-Attach11!F72</f>
        <v>1427061</v>
      </c>
      <c r="L11" s="1102"/>
      <c r="M11" s="1100"/>
      <c r="N11" s="460"/>
      <c r="O11" s="460"/>
    </row>
    <row r="12" spans="1:15" ht="14.25">
      <c r="A12" s="460"/>
      <c r="B12" s="1088"/>
      <c r="C12" s="698"/>
      <c r="D12" s="698" t="s">
        <v>681</v>
      </c>
      <c r="E12" s="698"/>
      <c r="F12" s="2048" t="str">
        <f>F10</f>
        <v>(Estimated)</v>
      </c>
      <c r="G12" s="2049"/>
      <c r="H12" s="694"/>
      <c r="I12" s="1101"/>
      <c r="J12" s="1090">
        <f>Data!G165</f>
        <v>0</v>
      </c>
      <c r="K12" s="1054">
        <f>J12</f>
        <v>0</v>
      </c>
      <c r="L12" s="1102"/>
      <c r="M12" s="1100"/>
      <c r="N12" s="460"/>
      <c r="O12" s="460"/>
    </row>
    <row r="13" spans="1:15" ht="14.25">
      <c r="A13" s="460"/>
      <c r="B13" s="1088"/>
      <c r="C13" s="698" t="s">
        <v>584</v>
      </c>
      <c r="D13" s="698"/>
      <c r="E13" s="698"/>
      <c r="F13" s="1091" t="s">
        <v>682</v>
      </c>
      <c r="G13" s="1092"/>
      <c r="H13" s="694" t="s">
        <v>491</v>
      </c>
      <c r="I13" s="1101"/>
      <c r="J13" s="1099">
        <v>0</v>
      </c>
      <c r="K13" s="1055">
        <f>J13</f>
        <v>0</v>
      </c>
      <c r="L13" s="1102"/>
      <c r="M13" s="1100"/>
      <c r="N13" s="460"/>
      <c r="O13" s="460"/>
    </row>
    <row r="14" spans="1:15" ht="14.25">
      <c r="A14" s="460"/>
      <c r="B14" s="1088"/>
      <c r="C14" s="698" t="str">
        <f>CONCATENATE("December 31, ",TestYear-1," Balance")</f>
        <v>December 31, 2014 Balance</v>
      </c>
      <c r="D14" s="698"/>
      <c r="E14" s="698"/>
      <c r="F14" s="2048" t="str">
        <f>F10</f>
        <v>(Estimated)</v>
      </c>
      <c r="G14" s="2049"/>
      <c r="H14" s="694"/>
      <c r="I14" s="1101"/>
      <c r="J14" s="1101"/>
      <c r="K14" s="679">
        <f>K8+K9+K10-K11-K12+K13</f>
        <v>44906644.943999998</v>
      </c>
      <c r="L14" s="749">
        <f>ROUND(K14,0)</f>
        <v>44906645</v>
      </c>
      <c r="M14" s="1100"/>
      <c r="N14" s="460"/>
      <c r="O14" s="460"/>
    </row>
    <row r="15" spans="1:15" ht="14.25">
      <c r="A15" s="460"/>
      <c r="B15" s="1088"/>
      <c r="C15" s="698" t="s">
        <v>676</v>
      </c>
      <c r="D15" s="698" t="s">
        <v>677</v>
      </c>
      <c r="E15" s="698"/>
      <c r="F15" s="2048" t="s">
        <v>678</v>
      </c>
      <c r="G15" s="2049"/>
      <c r="H15" s="694" t="s">
        <v>487</v>
      </c>
      <c r="I15" s="1104">
        <f>Attach12!M86</f>
        <v>130182</v>
      </c>
      <c r="J15" s="1105">
        <f>Attach12!O90-Attach12!M86</f>
        <v>5782507</v>
      </c>
      <c r="K15" s="1054">
        <f>I15+J15</f>
        <v>5912689</v>
      </c>
      <c r="L15" s="683">
        <f>ROUND((I15+(J15 *0.5)),0)</f>
        <v>3021436</v>
      </c>
      <c r="M15" s="1100"/>
      <c r="N15" s="460"/>
      <c r="O15" s="460"/>
    </row>
    <row r="16" spans="1:15" ht="14.25">
      <c r="A16" s="460"/>
      <c r="B16" s="1088"/>
      <c r="C16" s="698"/>
      <c r="D16" s="698" t="s">
        <v>679</v>
      </c>
      <c r="E16" s="698"/>
      <c r="F16" s="2048" t="s">
        <v>683</v>
      </c>
      <c r="G16" s="2049"/>
      <c r="H16" s="694"/>
      <c r="I16" s="1489">
        <v>0</v>
      </c>
      <c r="J16" s="1489">
        <v>0</v>
      </c>
      <c r="K16" s="1054">
        <f>I16+J16</f>
        <v>0</v>
      </c>
      <c r="L16" s="683">
        <f>ROUND((I16+(J16 *0.5)),0)</f>
        <v>0</v>
      </c>
      <c r="M16" s="1100"/>
      <c r="N16" s="460"/>
      <c r="O16" s="460"/>
    </row>
    <row r="17" spans="1:15" ht="15">
      <c r="A17" s="460"/>
      <c r="B17" s="1088"/>
      <c r="C17" s="1066" t="s">
        <v>680</v>
      </c>
      <c r="D17" s="698" t="s">
        <v>583</v>
      </c>
      <c r="E17" s="698"/>
      <c r="F17" s="2048" t="s">
        <v>653</v>
      </c>
      <c r="G17" s="2048"/>
      <c r="H17" s="694" t="s">
        <v>489</v>
      </c>
      <c r="I17" s="1488">
        <f>Attach11!J87-SUM(Attach11!J16,Attach11!J19,Attach11!J30,Attach11!J40,Attach11!J59,Attach11!J72)</f>
        <v>0</v>
      </c>
      <c r="J17" s="1488">
        <f>Attach11!L87-SUM(Attach11!L16,Attach11!L19,Attach11!L30,Attach11!L40,Attach11!L59,Attach11!L72)</f>
        <v>88584</v>
      </c>
      <c r="K17" s="683">
        <f>I17+J17</f>
        <v>88584</v>
      </c>
      <c r="L17" s="683">
        <f>ROUND((I17+(J17 *0.5)),0)</f>
        <v>44292</v>
      </c>
      <c r="M17" s="1100"/>
      <c r="N17" s="460"/>
      <c r="O17" s="460"/>
    </row>
    <row r="18" spans="1:15" ht="14.25">
      <c r="A18" s="460"/>
      <c r="B18" s="1088"/>
      <c r="C18" s="698"/>
      <c r="D18" s="698" t="s">
        <v>681</v>
      </c>
      <c r="E18" s="698"/>
      <c r="F18" s="2048" t="s">
        <v>683</v>
      </c>
      <c r="G18" s="2049"/>
      <c r="H18" s="694"/>
      <c r="I18" s="1489">
        <v>0</v>
      </c>
      <c r="J18" s="1492">
        <v>0</v>
      </c>
      <c r="K18" s="1055">
        <f>I18+J18</f>
        <v>0</v>
      </c>
      <c r="L18" s="684">
        <f>ROUND((I18+(J18 *0.5)),0)</f>
        <v>0</v>
      </c>
      <c r="M18" s="1100"/>
      <c r="N18" s="460"/>
      <c r="O18" s="460"/>
    </row>
    <row r="19" spans="1:15" ht="15" thickBot="1">
      <c r="A19" s="460"/>
      <c r="B19" s="1088"/>
      <c r="C19" s="698" t="str">
        <f>CONCATENATE("December 31, ",TestYear," Balance")</f>
        <v>December 31, 2015 Balance</v>
      </c>
      <c r="D19" s="698"/>
      <c r="E19" s="698"/>
      <c r="F19" s="2048" t="s">
        <v>683</v>
      </c>
      <c r="G19" s="2049"/>
      <c r="H19" s="694"/>
      <c r="I19" s="742"/>
      <c r="J19" s="742"/>
      <c r="K19" s="1056">
        <f>K14+K15+K16-K17-K18</f>
        <v>50730749.943999998</v>
      </c>
      <c r="L19" s="1093"/>
      <c r="M19" s="1100"/>
      <c r="N19" s="460"/>
      <c r="O19" s="460"/>
    </row>
    <row r="20" spans="1:15" ht="16.5" thickTop="1" thickBot="1">
      <c r="A20" s="460"/>
      <c r="B20" s="1088"/>
      <c r="C20" s="698"/>
      <c r="D20" s="698"/>
      <c r="E20" s="698"/>
      <c r="F20" s="1094"/>
      <c r="G20" s="1092"/>
      <c r="H20" s="694"/>
      <c r="I20" s="742"/>
      <c r="J20" s="682"/>
      <c r="K20" s="1106" t="s">
        <v>684</v>
      </c>
      <c r="L20" s="1056">
        <f>ROUND(L14+L15+L16-L17-L18,0)</f>
        <v>47883789</v>
      </c>
      <c r="M20" s="1100"/>
      <c r="N20" s="460"/>
      <c r="O20" s="460"/>
    </row>
    <row r="21" spans="1:15" ht="15" thickTop="1">
      <c r="A21" s="460"/>
      <c r="B21" s="1088"/>
      <c r="C21" s="698"/>
      <c r="D21" s="1095"/>
      <c r="E21" s="698"/>
      <c r="F21" s="1070"/>
      <c r="G21" s="1070"/>
      <c r="H21" s="694"/>
      <c r="I21" s="742"/>
      <c r="J21" s="742"/>
      <c r="K21" s="741"/>
      <c r="L21" s="741"/>
      <c r="M21" s="1100"/>
      <c r="N21" s="460"/>
      <c r="O21" s="460"/>
    </row>
    <row r="22" spans="1:15" ht="14.25">
      <c r="A22" s="460"/>
      <c r="B22" s="1050"/>
      <c r="C22" s="698"/>
      <c r="D22" s="698"/>
      <c r="E22" s="698"/>
      <c r="F22" s="698"/>
      <c r="G22" s="698"/>
      <c r="H22" s="694"/>
      <c r="I22" s="682"/>
      <c r="J22" s="682"/>
      <c r="K22" s="687"/>
      <c r="L22" s="682"/>
      <c r="M22" s="1100"/>
      <c r="N22" s="460"/>
      <c r="O22" s="460"/>
    </row>
    <row r="23" spans="1:15" ht="15">
      <c r="A23" s="460"/>
      <c r="B23" s="1084" t="s">
        <v>685</v>
      </c>
      <c r="C23" s="698"/>
      <c r="D23" s="1070"/>
      <c r="E23" s="1070"/>
      <c r="F23" s="1070"/>
      <c r="G23" s="1070"/>
      <c r="H23" s="694"/>
      <c r="I23" s="740"/>
      <c r="J23" s="740"/>
      <c r="K23" s="1107"/>
      <c r="L23" s="710" t="s">
        <v>396</v>
      </c>
      <c r="M23" s="1100"/>
      <c r="N23" s="460"/>
      <c r="O23" s="460"/>
    </row>
    <row r="24" spans="1:15" ht="15">
      <c r="A24" s="460"/>
      <c r="B24" s="1050"/>
      <c r="C24" s="698" t="s">
        <v>686</v>
      </c>
      <c r="D24" s="698"/>
      <c r="E24" s="698"/>
      <c r="F24" s="698"/>
      <c r="G24" s="698"/>
      <c r="H24" s="694"/>
      <c r="I24" s="682"/>
      <c r="J24" s="682"/>
      <c r="K24" s="687"/>
      <c r="L24" s="1108" t="s">
        <v>675</v>
      </c>
      <c r="M24" s="1100"/>
      <c r="N24" s="460"/>
      <c r="O24" s="460"/>
    </row>
    <row r="25" spans="1:15" ht="14.25">
      <c r="A25" s="460"/>
      <c r="B25" s="1050"/>
      <c r="C25" s="698"/>
      <c r="D25" s="698" t="str">
        <f>CONCATENATE("  December 31, ",TestYear-4)</f>
        <v xml:space="preserve">  December 31, 2011</v>
      </c>
      <c r="E25" s="698"/>
      <c r="F25" s="698"/>
      <c r="G25" s="1094" t="s">
        <v>687</v>
      </c>
      <c r="H25" s="694"/>
      <c r="I25" s="1105">
        <f>Data!B171</f>
        <v>951616</v>
      </c>
      <c r="J25" s="682"/>
      <c r="K25" s="682"/>
      <c r="L25" s="1102"/>
      <c r="M25" s="1100"/>
      <c r="N25" s="460"/>
      <c r="O25" s="460"/>
    </row>
    <row r="26" spans="1:15" ht="14.25">
      <c r="A26" s="460"/>
      <c r="B26" s="1050"/>
      <c r="C26" s="698"/>
      <c r="D26" s="698" t="str">
        <f>CONCATENATE("  December 31, ",TestYear-3)</f>
        <v xml:space="preserve">  December 31, 2012</v>
      </c>
      <c r="E26" s="698"/>
      <c r="F26" s="698"/>
      <c r="G26" s="1094" t="s">
        <v>687</v>
      </c>
      <c r="H26" s="694"/>
      <c r="I26" s="1054">
        <f>Data!B170</f>
        <v>667070</v>
      </c>
      <c r="J26" s="682"/>
      <c r="K26" s="682"/>
      <c r="L26" s="1102"/>
      <c r="M26" s="1100"/>
      <c r="N26" s="460"/>
      <c r="O26" s="460"/>
    </row>
    <row r="27" spans="1:15" ht="14.25">
      <c r="A27" s="460"/>
      <c r="B27" s="1050"/>
      <c r="C27" s="698"/>
      <c r="D27" s="698" t="str">
        <f>CONCATENATE("  December 31, ",TestYear-2)</f>
        <v xml:space="preserve">  December 31, 2013</v>
      </c>
      <c r="E27" s="698"/>
      <c r="F27" s="698"/>
      <c r="G27" s="1094" t="s">
        <v>687</v>
      </c>
      <c r="H27" s="694"/>
      <c r="I27" s="1054">
        <f>Data!B169</f>
        <v>713450</v>
      </c>
      <c r="J27" s="682"/>
      <c r="K27" s="682"/>
      <c r="L27" s="1102"/>
      <c r="M27" s="1100"/>
      <c r="N27" s="460"/>
      <c r="O27" s="460"/>
    </row>
    <row r="28" spans="1:15" ht="14.25">
      <c r="A28" s="460"/>
      <c r="B28" s="1050"/>
      <c r="C28" s="698"/>
      <c r="D28" s="698" t="str">
        <f>CONCATENATE("  December 31, ",TestYear-1)</f>
        <v xml:space="preserve">  December 31, 2014</v>
      </c>
      <c r="E28" s="698"/>
      <c r="F28" s="698"/>
      <c r="G28" s="1094" t="str">
        <f>F8</f>
        <v>(Estimated)</v>
      </c>
      <c r="H28" s="694" t="s">
        <v>493</v>
      </c>
      <c r="I28" s="1833">
        <v>700000</v>
      </c>
      <c r="J28" s="740"/>
      <c r="K28" s="682"/>
      <c r="L28" s="1484">
        <f>ROUND(I28*0.5,0)</f>
        <v>350000</v>
      </c>
      <c r="M28" s="1100"/>
      <c r="N28" s="460"/>
      <c r="O28" s="460"/>
    </row>
    <row r="29" spans="1:15" ht="14.25">
      <c r="A29" s="460"/>
      <c r="B29" s="1050"/>
      <c r="C29" s="698"/>
      <c r="D29" s="698" t="str">
        <f>CONCATENATE("  December 31, ",TestYear)</f>
        <v xml:space="preserve">  December 31, 2015</v>
      </c>
      <c r="E29" s="698"/>
      <c r="F29" s="698"/>
      <c r="G29" s="1094" t="s">
        <v>683</v>
      </c>
      <c r="H29" s="694" t="s">
        <v>493</v>
      </c>
      <c r="I29" s="681">
        <v>700000</v>
      </c>
      <c r="J29" s="740"/>
      <c r="K29" s="682"/>
      <c r="L29" s="1485">
        <f>ROUND(I29*0.5,0)</f>
        <v>350000</v>
      </c>
      <c r="M29" s="1100"/>
      <c r="N29" s="460"/>
      <c r="O29" s="460"/>
    </row>
    <row r="30" spans="1:15" ht="15.75" thickBot="1">
      <c r="A30" s="460"/>
      <c r="B30" s="1050"/>
      <c r="C30" s="698"/>
      <c r="D30" s="698"/>
      <c r="E30" s="698"/>
      <c r="F30" s="698"/>
      <c r="G30" s="698"/>
      <c r="H30" s="694"/>
      <c r="I30" s="682"/>
      <c r="J30" s="682"/>
      <c r="K30" s="1106" t="s">
        <v>684</v>
      </c>
      <c r="L30" s="1109">
        <f>SUM(L28:L29)</f>
        <v>700000</v>
      </c>
      <c r="M30" s="1100"/>
      <c r="N30" s="460"/>
      <c r="O30" s="460"/>
    </row>
    <row r="31" spans="1:15" ht="15.75" thickTop="1">
      <c r="A31" s="460"/>
      <c r="B31" s="1050"/>
      <c r="C31" s="698"/>
      <c r="D31" s="698"/>
      <c r="E31" s="698"/>
      <c r="F31" s="698"/>
      <c r="G31" s="698"/>
      <c r="H31" s="694"/>
      <c r="I31" s="682"/>
      <c r="J31" s="682"/>
      <c r="K31" s="1106"/>
      <c r="L31" s="744"/>
      <c r="M31" s="1100"/>
      <c r="N31" s="460"/>
      <c r="O31" s="460"/>
    </row>
    <row r="32" spans="1:15" ht="15">
      <c r="A32" s="460"/>
      <c r="B32" s="1098" t="s">
        <v>688</v>
      </c>
      <c r="C32" s="698"/>
      <c r="D32" s="698"/>
      <c r="E32" s="698"/>
      <c r="F32" s="698"/>
      <c r="G32" s="698"/>
      <c r="H32" s="694"/>
      <c r="I32" s="695" t="s">
        <v>689</v>
      </c>
      <c r="J32" s="682"/>
      <c r="K32" s="1106"/>
      <c r="L32" s="710" t="s">
        <v>396</v>
      </c>
      <c r="M32" s="1100"/>
      <c r="N32" s="460"/>
      <c r="O32" s="460"/>
    </row>
    <row r="33" spans="1:15" ht="15">
      <c r="A33" s="460"/>
      <c r="B33" s="1050"/>
      <c r="C33" s="698" t="s">
        <v>690</v>
      </c>
      <c r="D33" s="698"/>
      <c r="E33" s="698"/>
      <c r="F33" s="698"/>
      <c r="G33" s="698"/>
      <c r="H33" s="694"/>
      <c r="I33" s="697" t="s">
        <v>691</v>
      </c>
      <c r="J33" s="697"/>
      <c r="K33" s="697" t="s">
        <v>253</v>
      </c>
      <c r="L33" s="1108" t="s">
        <v>675</v>
      </c>
      <c r="M33" s="1100"/>
      <c r="N33" s="460"/>
      <c r="O33" s="460"/>
    </row>
    <row r="34" spans="1:15" ht="14.25">
      <c r="A34" s="460"/>
      <c r="B34" s="1050"/>
      <c r="C34" s="698"/>
      <c r="D34" s="698" t="str">
        <f>CONCATENATE("  December 31, ",TestYear-2)</f>
        <v xml:space="preserve">  December 31, 2013</v>
      </c>
      <c r="E34" s="698"/>
      <c r="F34" s="698"/>
      <c r="G34" s="1094" t="s">
        <v>687</v>
      </c>
      <c r="H34" s="694" t="s">
        <v>495</v>
      </c>
      <c r="I34" s="1105">
        <f>Data!B173</f>
        <v>4596346</v>
      </c>
      <c r="J34" s="1090"/>
      <c r="K34" s="1105">
        <f>I34+J34</f>
        <v>4596346</v>
      </c>
      <c r="L34" s="1102"/>
      <c r="M34" s="699"/>
      <c r="N34" s="460"/>
      <c r="O34" s="460"/>
    </row>
    <row r="35" spans="1:15" ht="14.25">
      <c r="A35" s="460"/>
      <c r="B35" s="1088"/>
      <c r="C35" s="698"/>
      <c r="D35" s="698" t="str">
        <f>CONCATENATE("  December 31, ",TestYear-1)</f>
        <v xml:space="preserve">  December 31, 2014</v>
      </c>
      <c r="E35" s="698"/>
      <c r="F35" s="698"/>
      <c r="G35" s="1094" t="str">
        <f>F8</f>
        <v>(Estimated)</v>
      </c>
      <c r="H35" s="694" t="s">
        <v>495</v>
      </c>
      <c r="I35" s="1090">
        <f>I34-459633</f>
        <v>4136713</v>
      </c>
      <c r="J35" s="1090"/>
      <c r="K35" s="1054">
        <f>I35+J35</f>
        <v>4136713</v>
      </c>
      <c r="L35" s="749">
        <f>ROUND(K35*0.5,0)</f>
        <v>2068357</v>
      </c>
      <c r="M35" s="1100"/>
      <c r="N35" s="460"/>
      <c r="O35" s="460"/>
    </row>
    <row r="36" spans="1:15" ht="14.25">
      <c r="A36" s="460"/>
      <c r="B36" s="1088"/>
      <c r="C36" s="698"/>
      <c r="D36" s="698" t="str">
        <f>CONCATENATE("  December 31, ",TestYear)</f>
        <v xml:space="preserve">  December 31, 2015</v>
      </c>
      <c r="E36" s="698"/>
      <c r="F36" s="698"/>
      <c r="G36" s="1094" t="str">
        <f>F19</f>
        <v>(Estimated)</v>
      </c>
      <c r="H36" s="694" t="s">
        <v>495</v>
      </c>
      <c r="I36" s="1090">
        <f>I35-459633</f>
        <v>3677080</v>
      </c>
      <c r="J36" s="1097"/>
      <c r="K36" s="1054">
        <f>I36+J36</f>
        <v>3677080</v>
      </c>
      <c r="L36" s="749">
        <f>ROUND(K36*0.5,0)</f>
        <v>1838540</v>
      </c>
      <c r="M36" s="1100"/>
      <c r="N36" s="460"/>
      <c r="O36" s="460"/>
    </row>
    <row r="37" spans="1:15" ht="15.75" thickBot="1">
      <c r="A37" s="460"/>
      <c r="B37" s="1088"/>
      <c r="C37" s="1096"/>
      <c r="D37" s="1096"/>
      <c r="E37" s="1096"/>
      <c r="F37" s="1096"/>
      <c r="G37" s="1096"/>
      <c r="H37" s="682"/>
      <c r="I37" s="682"/>
      <c r="J37" s="682"/>
      <c r="K37" s="1106" t="s">
        <v>684</v>
      </c>
      <c r="L37" s="1109">
        <f>SUM(L35:L36)</f>
        <v>3906897</v>
      </c>
      <c r="M37" s="1100"/>
      <c r="N37" s="460"/>
      <c r="O37" s="460"/>
    </row>
    <row r="38" spans="1:15" ht="15" thickTop="1">
      <c r="A38" s="460"/>
      <c r="B38" s="1088"/>
      <c r="C38" s="1096"/>
      <c r="D38" s="682"/>
      <c r="E38" s="682"/>
      <c r="F38" s="682"/>
      <c r="G38" s="682"/>
      <c r="H38" s="682"/>
      <c r="I38" s="682"/>
      <c r="J38" s="682"/>
      <c r="K38" s="682"/>
      <c r="L38" s="682"/>
      <c r="M38" s="1100"/>
      <c r="N38" s="460"/>
      <c r="O38" s="460"/>
    </row>
    <row r="39" spans="1:15">
      <c r="A39" s="460"/>
      <c r="B39" s="1074"/>
      <c r="C39" s="1013"/>
      <c r="D39" s="1013"/>
      <c r="E39" s="1013"/>
      <c r="F39" s="1013"/>
      <c r="G39" s="1013"/>
      <c r="H39" s="1015"/>
      <c r="I39" s="1015"/>
      <c r="J39" s="1018"/>
      <c r="K39" s="1015"/>
      <c r="L39" s="858"/>
      <c r="M39" s="1100"/>
      <c r="N39" s="460"/>
      <c r="O39" s="460"/>
    </row>
    <row r="40" spans="1:15">
      <c r="A40" s="460"/>
      <c r="B40" s="1072"/>
      <c r="C40" s="731"/>
      <c r="D40" s="731"/>
      <c r="E40" s="731"/>
      <c r="F40" s="731"/>
      <c r="G40" s="731"/>
      <c r="H40" s="731"/>
      <c r="I40" s="731"/>
      <c r="J40" s="534"/>
      <c r="K40" s="731"/>
      <c r="L40" s="733"/>
      <c r="M40" s="501"/>
      <c r="N40" s="460"/>
      <c r="O40" s="460"/>
    </row>
    <row r="41" spans="1:15" ht="12.75" customHeight="1">
      <c r="A41" s="460"/>
      <c r="B41" s="730" t="s">
        <v>693</v>
      </c>
      <c r="C41" s="719" t="str">
        <f>CONCATENATE("The depreciation accrual totals for ",TestYear-1," and ",TestYear," must agree with Attachment 12.")</f>
        <v>The depreciation accrual totals for 2014 and 2015 must agree with Attachment 12.</v>
      </c>
      <c r="D41" s="673"/>
      <c r="E41" s="673"/>
      <c r="F41" s="673"/>
      <c r="G41" s="731"/>
      <c r="H41" s="731"/>
      <c r="I41" s="731"/>
      <c r="J41" s="731"/>
      <c r="K41" s="731"/>
      <c r="L41" s="731"/>
      <c r="M41" s="501"/>
      <c r="N41" s="460"/>
      <c r="O41" s="460"/>
    </row>
    <row r="42" spans="1:15" ht="12.75" customHeight="1">
      <c r="A42" s="460"/>
      <c r="B42" s="730"/>
      <c r="C42" s="1073" t="s">
        <v>694</v>
      </c>
      <c r="D42" s="673"/>
      <c r="E42" s="673"/>
      <c r="F42" s="673"/>
      <c r="G42" s="731"/>
      <c r="H42" s="731"/>
      <c r="I42" s="731"/>
      <c r="J42" s="731"/>
      <c r="K42" s="731"/>
      <c r="L42" s="731"/>
      <c r="M42" s="501"/>
      <c r="N42" s="460"/>
      <c r="O42" s="460"/>
    </row>
    <row r="43" spans="1:15" ht="6" customHeight="1">
      <c r="A43" s="460"/>
      <c r="B43" s="730"/>
      <c r="C43" s="1073"/>
      <c r="D43" s="673"/>
      <c r="E43" s="673"/>
      <c r="F43" s="673"/>
      <c r="G43" s="731"/>
      <c r="H43" s="731"/>
      <c r="I43" s="731"/>
      <c r="J43" s="731"/>
      <c r="K43" s="731"/>
      <c r="L43" s="731"/>
      <c r="M43" s="501"/>
      <c r="N43" s="460"/>
      <c r="O43" s="460"/>
    </row>
    <row r="44" spans="1:15" ht="12.75" customHeight="1">
      <c r="A44" s="460"/>
      <c r="B44" s="1077" t="s">
        <v>695</v>
      </c>
      <c r="C44" s="719" t="str">
        <f>CONCATENATE("The plant retirements totals for ",TestYear-1," and ",TestYear," must agree with Attachment 11.")</f>
        <v>The plant retirements totals for 2014 and 2015 must agree with Attachment 11.</v>
      </c>
      <c r="D44" s="673"/>
      <c r="E44" s="673"/>
      <c r="F44" s="673"/>
      <c r="G44" s="731"/>
      <c r="H44" s="731"/>
      <c r="I44" s="731"/>
      <c r="J44" s="731"/>
      <c r="K44" s="731"/>
      <c r="L44" s="731"/>
      <c r="M44" s="501"/>
      <c r="N44" s="460"/>
      <c r="O44" s="460"/>
    </row>
    <row r="45" spans="1:15" ht="12.75" customHeight="1">
      <c r="A45" s="460"/>
      <c r="B45" s="730"/>
      <c r="C45" s="1073" t="s">
        <v>696</v>
      </c>
      <c r="D45" s="673"/>
      <c r="E45" s="673"/>
      <c r="F45" s="673"/>
      <c r="G45" s="344"/>
      <c r="H45" s="344"/>
      <c r="I45" s="344"/>
      <c r="J45" s="344"/>
      <c r="K45" s="344"/>
      <c r="L45" s="344"/>
      <c r="M45" s="501"/>
      <c r="N45" s="460"/>
      <c r="O45" s="460"/>
    </row>
    <row r="46" spans="1:15" ht="6" customHeight="1">
      <c r="A46" s="460"/>
      <c r="B46" s="730"/>
      <c r="C46" s="1073"/>
      <c r="D46" s="673"/>
      <c r="E46" s="673"/>
      <c r="F46" s="673"/>
      <c r="G46" s="344"/>
      <c r="H46" s="344"/>
      <c r="I46" s="344"/>
      <c r="J46" s="344"/>
      <c r="K46" s="344"/>
      <c r="L46" s="344"/>
      <c r="M46" s="501"/>
      <c r="N46" s="460"/>
      <c r="O46" s="460"/>
    </row>
    <row r="47" spans="1:15" ht="12.75" customHeight="1">
      <c r="A47" s="460"/>
      <c r="B47" s="1077" t="s">
        <v>697</v>
      </c>
      <c r="C47" s="1073" t="s">
        <v>698</v>
      </c>
      <c r="D47" s="673"/>
      <c r="E47" s="673"/>
      <c r="F47" s="673"/>
      <c r="G47" s="344"/>
      <c r="H47" s="344"/>
      <c r="I47" s="344"/>
      <c r="J47" s="344"/>
      <c r="K47" s="344"/>
      <c r="L47" s="344"/>
      <c r="M47" s="501"/>
      <c r="N47" s="460"/>
      <c r="O47" s="460"/>
    </row>
    <row r="48" spans="1:15" ht="6" customHeight="1">
      <c r="A48" s="460"/>
      <c r="B48" s="730"/>
      <c r="C48" s="1078"/>
      <c r="D48" s="673"/>
      <c r="E48" s="673"/>
      <c r="F48" s="673"/>
      <c r="G48" s="344"/>
      <c r="H48" s="344"/>
      <c r="I48" s="344"/>
      <c r="J48" s="344"/>
      <c r="K48" s="344"/>
      <c r="L48" s="344"/>
      <c r="M48" s="501"/>
      <c r="N48" s="460"/>
      <c r="O48" s="460"/>
    </row>
    <row r="49" spans="1:15" ht="12.75" customHeight="1">
      <c r="A49" s="460"/>
      <c r="B49" s="1077" t="s">
        <v>699</v>
      </c>
      <c r="C49" s="719" t="s">
        <v>700</v>
      </c>
      <c r="D49" s="673"/>
      <c r="E49" s="673"/>
      <c r="F49" s="673"/>
      <c r="G49" s="344"/>
      <c r="H49" s="344"/>
      <c r="I49" s="344"/>
      <c r="J49" s="344"/>
      <c r="K49" s="344"/>
      <c r="L49" s="344"/>
      <c r="M49" s="501"/>
      <c r="N49" s="460"/>
      <c r="O49" s="460"/>
    </row>
    <row r="50" spans="1:15" ht="12.75" customHeight="1">
      <c r="A50" s="460"/>
      <c r="B50" s="730"/>
      <c r="C50" s="719" t="str">
        <f>CONCATENATE("estimates for ",TestYear-1," &amp; ",TestYear,".")</f>
        <v>estimates for 2014 &amp; 2015.</v>
      </c>
      <c r="D50" s="673"/>
      <c r="E50" s="673"/>
      <c r="F50" s="673"/>
      <c r="G50" s="344"/>
      <c r="H50" s="344"/>
      <c r="I50" s="344"/>
      <c r="J50" s="344"/>
      <c r="K50" s="344"/>
      <c r="L50" s="344"/>
      <c r="M50" s="501"/>
      <c r="N50" s="460"/>
      <c r="O50" s="460"/>
    </row>
    <row r="51" spans="1:15" ht="6" customHeight="1">
      <c r="A51" s="460"/>
      <c r="B51" s="730"/>
      <c r="C51" s="719"/>
      <c r="D51" s="673"/>
      <c r="E51" s="673"/>
      <c r="F51" s="673"/>
      <c r="G51" s="344"/>
      <c r="H51" s="344"/>
      <c r="I51" s="344"/>
      <c r="J51" s="344"/>
      <c r="K51" s="344"/>
      <c r="L51" s="344"/>
      <c r="M51" s="501"/>
      <c r="N51" s="460"/>
      <c r="O51" s="460"/>
    </row>
    <row r="52" spans="1:15" ht="12.75" customHeight="1">
      <c r="A52" s="460"/>
      <c r="B52" s="1077" t="s">
        <v>701</v>
      </c>
      <c r="C52" s="719" t="s">
        <v>702</v>
      </c>
      <c r="D52" s="673"/>
      <c r="E52" s="673"/>
      <c r="F52" s="673"/>
      <c r="G52" s="344"/>
      <c r="H52" s="344"/>
      <c r="I52" s="344"/>
      <c r="J52" s="344"/>
      <c r="K52" s="344"/>
      <c r="L52" s="344"/>
      <c r="M52" s="501"/>
      <c r="N52" s="460"/>
      <c r="O52" s="460"/>
    </row>
    <row r="53" spans="1:15">
      <c r="A53" s="460"/>
      <c r="B53" s="730"/>
      <c r="C53" s="673"/>
      <c r="D53" s="673"/>
      <c r="E53" s="673"/>
      <c r="F53" s="673"/>
      <c r="G53" s="344"/>
      <c r="H53" s="344"/>
      <c r="I53" s="344"/>
      <c r="J53" s="344"/>
      <c r="K53" s="344"/>
      <c r="L53" s="344"/>
      <c r="M53" s="501"/>
      <c r="N53" s="460"/>
      <c r="O53" s="460"/>
    </row>
    <row r="54" spans="1:15">
      <c r="A54" s="460"/>
      <c r="B54" s="1075"/>
      <c r="C54" s="731"/>
      <c r="D54" s="344"/>
      <c r="E54" s="344"/>
      <c r="F54" s="344"/>
      <c r="G54" s="344"/>
      <c r="H54" s="344"/>
      <c r="I54" s="344"/>
      <c r="J54" s="344"/>
      <c r="K54" s="344"/>
      <c r="L54" s="344"/>
      <c r="M54" s="501"/>
      <c r="N54" s="460"/>
      <c r="O54" s="460"/>
    </row>
    <row r="55" spans="1:15" ht="13.5" thickBot="1">
      <c r="A55" s="460"/>
      <c r="B55" s="1076"/>
      <c r="C55" s="818"/>
      <c r="D55" s="385"/>
      <c r="E55" s="385"/>
      <c r="F55" s="385"/>
      <c r="G55" s="385"/>
      <c r="H55" s="385"/>
      <c r="I55" s="385"/>
      <c r="J55" s="385"/>
      <c r="K55" s="385"/>
      <c r="L55" s="385"/>
      <c r="M55" s="508"/>
      <c r="N55" s="460"/>
      <c r="O55" s="460"/>
    </row>
    <row r="56" spans="1:15" ht="13.5" thickTop="1">
      <c r="A56" s="460"/>
      <c r="B56" s="185"/>
      <c r="C56" s="186"/>
      <c r="D56" s="185"/>
      <c r="E56" s="185"/>
      <c r="F56" s="185"/>
      <c r="G56" s="185"/>
      <c r="H56" s="185"/>
      <c r="I56" s="185"/>
      <c r="J56" s="185"/>
      <c r="K56" s="185"/>
      <c r="L56" s="185"/>
      <c r="M56" s="460"/>
      <c r="N56" s="460"/>
      <c r="O56" s="460"/>
    </row>
    <row r="57" spans="1:15">
      <c r="A57" s="460"/>
      <c r="B57" s="185"/>
      <c r="C57" s="186"/>
      <c r="D57" s="185"/>
      <c r="E57" s="185"/>
      <c r="F57" s="185"/>
      <c r="G57" s="185"/>
      <c r="H57" s="185"/>
      <c r="I57" s="185"/>
      <c r="J57" s="185"/>
      <c r="K57" s="185"/>
      <c r="L57" s="185"/>
      <c r="M57" s="460"/>
      <c r="N57" s="460"/>
      <c r="O57" s="460"/>
    </row>
    <row r="58" spans="1:15">
      <c r="A58" s="460"/>
      <c r="B58" s="185"/>
      <c r="C58" s="186"/>
      <c r="D58" s="185"/>
      <c r="E58" s="185"/>
      <c r="F58" s="185"/>
      <c r="G58" s="185"/>
      <c r="H58" s="185"/>
      <c r="I58" s="185"/>
      <c r="J58" s="185"/>
      <c r="K58" s="185"/>
      <c r="L58" s="185"/>
      <c r="M58" s="460"/>
      <c r="N58" s="460"/>
      <c r="O58" s="460"/>
    </row>
    <row r="59" spans="1:15">
      <c r="A59" s="460"/>
      <c r="B59" s="185"/>
      <c r="C59" s="185"/>
      <c r="D59" s="185"/>
      <c r="E59" s="185"/>
      <c r="F59" s="185"/>
      <c r="G59" s="185"/>
      <c r="H59" s="185"/>
      <c r="I59" s="185"/>
      <c r="J59" s="185"/>
      <c r="K59" s="185"/>
      <c r="L59" s="185"/>
      <c r="M59" s="460"/>
      <c r="N59" s="460"/>
      <c r="O59" s="460"/>
    </row>
    <row r="60" spans="1:15">
      <c r="A60" s="460"/>
      <c r="B60" s="185"/>
      <c r="C60" s="185"/>
      <c r="D60" s="185"/>
      <c r="E60" s="185"/>
      <c r="F60" s="185"/>
      <c r="G60" s="185"/>
      <c r="H60" s="185"/>
      <c r="I60" s="185"/>
      <c r="J60" s="185"/>
      <c r="K60" s="185"/>
      <c r="L60" s="185"/>
      <c r="M60" s="460"/>
      <c r="N60" s="460"/>
      <c r="O60" s="460"/>
    </row>
    <row r="61" spans="1:15">
      <c r="A61" s="460"/>
      <c r="B61" s="185"/>
      <c r="C61" s="185"/>
      <c r="D61" s="185"/>
      <c r="E61" s="185"/>
      <c r="F61" s="185"/>
      <c r="G61" s="185"/>
      <c r="H61" s="185"/>
      <c r="I61" s="185"/>
      <c r="J61" s="185"/>
      <c r="K61" s="185"/>
      <c r="L61" s="185"/>
      <c r="M61" s="460"/>
      <c r="N61" s="460"/>
      <c r="O61" s="460"/>
    </row>
    <row r="62" spans="1:15">
      <c r="A62" s="460"/>
      <c r="B62" s="185"/>
      <c r="C62" s="185"/>
      <c r="D62" s="185"/>
      <c r="E62" s="185"/>
      <c r="F62" s="185"/>
      <c r="G62" s="185"/>
      <c r="H62" s="185"/>
      <c r="I62" s="185"/>
      <c r="J62" s="185"/>
      <c r="K62" s="185"/>
      <c r="L62" s="185"/>
      <c r="M62" s="460"/>
      <c r="N62" s="460"/>
      <c r="O62" s="460"/>
    </row>
    <row r="63" spans="1:15">
      <c r="A63" s="460"/>
      <c r="B63" s="185"/>
      <c r="C63" s="185"/>
      <c r="D63" s="185"/>
      <c r="E63" s="185"/>
      <c r="F63" s="185"/>
      <c r="G63" s="185"/>
      <c r="H63" s="185"/>
      <c r="I63" s="185"/>
      <c r="J63" s="185"/>
      <c r="K63" s="185"/>
      <c r="L63" s="185"/>
      <c r="M63" s="460"/>
      <c r="N63" s="460"/>
      <c r="O63" s="460"/>
    </row>
    <row r="64" spans="1:15">
      <c r="A64" s="460"/>
      <c r="B64" s="185"/>
      <c r="C64" s="185"/>
      <c r="D64" s="185"/>
      <c r="E64" s="185"/>
      <c r="F64" s="185"/>
      <c r="G64" s="185"/>
      <c r="H64" s="185"/>
      <c r="I64" s="185"/>
      <c r="J64" s="185"/>
      <c r="K64" s="185"/>
      <c r="L64" s="185"/>
      <c r="M64" s="460"/>
      <c r="N64" s="460"/>
      <c r="O64" s="460"/>
    </row>
    <row r="65" spans="1:15">
      <c r="A65" s="460"/>
      <c r="B65" s="185"/>
      <c r="C65" s="185"/>
      <c r="D65" s="185"/>
      <c r="E65" s="185"/>
      <c r="F65" s="185"/>
      <c r="G65" s="185"/>
      <c r="H65" s="185"/>
      <c r="I65" s="185"/>
      <c r="J65" s="185"/>
      <c r="K65" s="185"/>
      <c r="L65" s="185"/>
      <c r="M65" s="460"/>
      <c r="N65" s="460"/>
      <c r="O65" s="460"/>
    </row>
    <row r="66" spans="1:15">
      <c r="A66" s="460"/>
      <c r="B66" s="185"/>
      <c r="C66" s="185"/>
      <c r="D66" s="185"/>
      <c r="E66" s="185"/>
      <c r="F66" s="185"/>
      <c r="G66" s="185"/>
      <c r="H66" s="185"/>
      <c r="I66" s="185"/>
      <c r="J66" s="185"/>
      <c r="K66" s="185"/>
      <c r="L66" s="185"/>
      <c r="M66" s="460"/>
      <c r="N66" s="460"/>
      <c r="O66" s="460"/>
    </row>
    <row r="67" spans="1:15">
      <c r="A67" s="460"/>
      <c r="B67" s="185"/>
      <c r="C67" s="185"/>
      <c r="D67" s="185"/>
      <c r="E67" s="185"/>
      <c r="F67" s="185"/>
      <c r="G67" s="185"/>
      <c r="H67" s="185"/>
      <c r="I67" s="185"/>
      <c r="J67" s="185"/>
      <c r="K67" s="185"/>
      <c r="L67" s="185"/>
      <c r="M67" s="460"/>
      <c r="N67" s="460"/>
      <c r="O67" s="460"/>
    </row>
    <row r="68" spans="1:15">
      <c r="A68" s="460"/>
      <c r="B68" s="185"/>
      <c r="C68" s="185"/>
      <c r="D68" s="185"/>
      <c r="E68" s="185"/>
      <c r="F68" s="185"/>
      <c r="G68" s="185"/>
      <c r="H68" s="185"/>
      <c r="I68" s="185"/>
      <c r="J68" s="185"/>
      <c r="K68" s="185"/>
      <c r="L68" s="185"/>
      <c r="M68" s="460"/>
      <c r="N68" s="460"/>
      <c r="O68" s="460"/>
    </row>
    <row r="69" spans="1:15">
      <c r="A69" s="460"/>
      <c r="B69" s="185"/>
      <c r="C69" s="185"/>
      <c r="D69" s="185"/>
      <c r="E69" s="185"/>
      <c r="F69" s="185"/>
      <c r="G69" s="185"/>
      <c r="H69" s="185"/>
      <c r="I69" s="185"/>
      <c r="J69" s="185"/>
      <c r="K69" s="185"/>
      <c r="L69" s="185"/>
      <c r="M69" s="460"/>
      <c r="N69" s="460"/>
      <c r="O69" s="460"/>
    </row>
    <row r="70" spans="1:15">
      <c r="A70" s="460"/>
      <c r="B70" s="185"/>
      <c r="C70" s="185"/>
      <c r="D70" s="185"/>
      <c r="E70" s="185"/>
      <c r="F70" s="185"/>
      <c r="G70" s="185"/>
      <c r="H70" s="185"/>
      <c r="I70" s="185"/>
      <c r="J70" s="185"/>
      <c r="K70" s="185"/>
      <c r="L70" s="185"/>
      <c r="M70" s="460"/>
      <c r="N70" s="460"/>
      <c r="O70" s="460"/>
    </row>
    <row r="71" spans="1:15">
      <c r="A71" s="460"/>
      <c r="B71" s="185"/>
      <c r="C71" s="185"/>
      <c r="D71" s="185"/>
      <c r="E71" s="185"/>
      <c r="F71" s="185"/>
      <c r="G71" s="185"/>
      <c r="H71" s="185"/>
      <c r="I71" s="185"/>
      <c r="J71" s="185"/>
      <c r="K71" s="185"/>
      <c r="L71" s="185"/>
      <c r="M71" s="460"/>
      <c r="N71" s="460"/>
      <c r="O71" s="460"/>
    </row>
    <row r="72" spans="1:15">
      <c r="A72" s="460"/>
      <c r="B72" s="185"/>
      <c r="C72" s="185"/>
      <c r="D72" s="185"/>
      <c r="E72" s="185"/>
      <c r="F72" s="185"/>
      <c r="G72" s="185"/>
      <c r="H72" s="185"/>
      <c r="I72" s="185"/>
      <c r="J72" s="185"/>
      <c r="K72" s="185"/>
      <c r="L72" s="185"/>
      <c r="M72" s="460"/>
      <c r="N72" s="460"/>
      <c r="O72" s="460"/>
    </row>
    <row r="73" spans="1:15">
      <c r="A73" s="460"/>
      <c r="B73" s="185"/>
      <c r="C73" s="185"/>
      <c r="D73" s="185"/>
      <c r="E73" s="185"/>
      <c r="F73" s="185"/>
      <c r="G73" s="185"/>
      <c r="H73" s="185"/>
      <c r="I73" s="185"/>
      <c r="J73" s="185"/>
      <c r="K73" s="185"/>
      <c r="L73" s="185"/>
      <c r="M73" s="460"/>
      <c r="N73" s="460"/>
      <c r="O73" s="460"/>
    </row>
    <row r="74" spans="1:15">
      <c r="A74" s="460"/>
      <c r="B74" s="185"/>
      <c r="C74" s="185"/>
      <c r="D74" s="185"/>
      <c r="E74" s="185"/>
      <c r="F74" s="185"/>
      <c r="G74" s="185"/>
      <c r="H74" s="185"/>
      <c r="I74" s="185"/>
      <c r="J74" s="185"/>
      <c r="K74" s="185"/>
      <c r="L74" s="185"/>
      <c r="M74" s="460"/>
      <c r="N74" s="460"/>
      <c r="O74" s="460"/>
    </row>
    <row r="75" spans="1:15">
      <c r="A75" s="460"/>
      <c r="B75" s="185"/>
      <c r="C75" s="185"/>
      <c r="D75" s="185"/>
      <c r="E75" s="185"/>
      <c r="F75" s="185"/>
      <c r="G75" s="185"/>
      <c r="H75" s="185"/>
      <c r="I75" s="185"/>
      <c r="J75" s="185"/>
      <c r="K75" s="185"/>
      <c r="L75" s="185"/>
      <c r="M75" s="460"/>
      <c r="N75" s="460"/>
      <c r="O75" s="460"/>
    </row>
    <row r="76" spans="1:15">
      <c r="A76" s="460"/>
      <c r="B76" s="185"/>
      <c r="C76" s="185"/>
      <c r="D76" s="185"/>
      <c r="E76" s="185"/>
      <c r="F76" s="185"/>
      <c r="G76" s="185"/>
      <c r="H76" s="185"/>
      <c r="I76" s="185"/>
      <c r="J76" s="185"/>
      <c r="K76" s="185"/>
      <c r="L76" s="185"/>
      <c r="M76" s="460"/>
      <c r="N76" s="460"/>
      <c r="O76" s="460"/>
    </row>
    <row r="77" spans="1:15">
      <c r="A77" s="460"/>
      <c r="B77" s="185"/>
      <c r="C77" s="185"/>
      <c r="D77" s="185"/>
      <c r="E77" s="185"/>
      <c r="F77" s="185"/>
      <c r="G77" s="185"/>
      <c r="H77" s="185"/>
      <c r="I77" s="185"/>
      <c r="J77" s="185"/>
      <c r="K77" s="185"/>
      <c r="L77" s="185"/>
      <c r="M77" s="460"/>
      <c r="N77" s="460"/>
      <c r="O77" s="460"/>
    </row>
    <row r="78" spans="1:15">
      <c r="A78" s="460"/>
      <c r="B78" s="185"/>
      <c r="C78" s="185"/>
      <c r="D78" s="185"/>
      <c r="E78" s="185"/>
      <c r="F78" s="185"/>
      <c r="G78" s="185"/>
      <c r="H78" s="185"/>
      <c r="I78" s="185"/>
      <c r="J78" s="185"/>
      <c r="K78" s="185"/>
      <c r="L78" s="185"/>
      <c r="M78" s="460"/>
      <c r="N78" s="460"/>
      <c r="O78" s="460"/>
    </row>
    <row r="79" spans="1:15">
      <c r="A79" s="460"/>
      <c r="B79" s="185"/>
      <c r="C79" s="185"/>
      <c r="D79" s="185"/>
      <c r="E79" s="185"/>
      <c r="F79" s="185"/>
      <c r="G79" s="185"/>
      <c r="H79" s="185"/>
      <c r="I79" s="185"/>
      <c r="J79" s="185"/>
      <c r="K79" s="185"/>
      <c r="L79" s="185"/>
      <c r="M79" s="460"/>
      <c r="N79" s="460"/>
      <c r="O79" s="460"/>
    </row>
    <row r="80" spans="1:15">
      <c r="A80" s="460"/>
      <c r="B80" s="185"/>
      <c r="C80" s="185"/>
      <c r="D80" s="185"/>
      <c r="E80" s="185"/>
      <c r="F80" s="185"/>
      <c r="G80" s="185"/>
      <c r="H80" s="185"/>
      <c r="I80" s="185"/>
      <c r="J80" s="185"/>
      <c r="K80" s="185"/>
      <c r="L80" s="185"/>
      <c r="M80" s="460"/>
      <c r="N80" s="460"/>
      <c r="O80" s="460"/>
    </row>
    <row r="81" spans="1:15">
      <c r="A81" s="460"/>
      <c r="B81" s="185"/>
      <c r="C81" s="185"/>
      <c r="D81" s="185"/>
      <c r="E81" s="185"/>
      <c r="F81" s="185"/>
      <c r="G81" s="185"/>
      <c r="H81" s="185"/>
      <c r="I81" s="185"/>
      <c r="J81" s="185"/>
      <c r="K81" s="185"/>
      <c r="L81" s="185"/>
      <c r="M81" s="460"/>
      <c r="N81" s="460"/>
      <c r="O81" s="460"/>
    </row>
    <row r="82" spans="1:15">
      <c r="A82" s="460"/>
      <c r="B82" s="185"/>
      <c r="C82" s="185"/>
      <c r="D82" s="185"/>
      <c r="E82" s="185"/>
      <c r="F82" s="185"/>
      <c r="G82" s="185"/>
      <c r="H82" s="185"/>
      <c r="I82" s="185"/>
      <c r="J82" s="185"/>
      <c r="K82" s="185"/>
      <c r="L82" s="185"/>
      <c r="M82" s="460"/>
      <c r="N82" s="460"/>
      <c r="O82" s="460"/>
    </row>
    <row r="83" spans="1:15">
      <c r="A83" s="460"/>
      <c r="B83" s="185"/>
      <c r="C83" s="185"/>
      <c r="D83" s="185"/>
      <c r="E83" s="185"/>
      <c r="F83" s="185"/>
      <c r="G83" s="185"/>
      <c r="H83" s="185"/>
      <c r="I83" s="185"/>
      <c r="J83" s="185"/>
      <c r="K83" s="185"/>
      <c r="L83" s="185"/>
      <c r="M83" s="460"/>
      <c r="N83" s="460"/>
      <c r="O83" s="460"/>
    </row>
    <row r="84" spans="1:15">
      <c r="A84" s="460"/>
      <c r="B84" s="185"/>
      <c r="C84" s="185"/>
      <c r="D84" s="185"/>
      <c r="E84" s="185"/>
      <c r="F84" s="185"/>
      <c r="G84" s="185"/>
      <c r="H84" s="185"/>
      <c r="I84" s="185"/>
      <c r="J84" s="185"/>
      <c r="K84" s="185"/>
      <c r="L84" s="185"/>
      <c r="M84" s="460"/>
      <c r="N84" s="460"/>
      <c r="O84" s="460"/>
    </row>
    <row r="85" spans="1:15">
      <c r="A85" s="460"/>
      <c r="B85" s="185"/>
      <c r="C85" s="185"/>
      <c r="D85" s="185"/>
      <c r="E85" s="185"/>
      <c r="F85" s="185"/>
      <c r="G85" s="185"/>
      <c r="H85" s="185"/>
      <c r="I85" s="185"/>
      <c r="J85" s="185"/>
      <c r="K85" s="185"/>
      <c r="L85" s="185"/>
      <c r="M85" s="460"/>
      <c r="N85" s="460"/>
      <c r="O85" s="460"/>
    </row>
    <row r="86" spans="1:15">
      <c r="A86" s="460"/>
      <c r="B86" s="185"/>
      <c r="C86" s="185"/>
      <c r="D86" s="185"/>
      <c r="E86" s="185"/>
      <c r="F86" s="185"/>
      <c r="G86" s="185"/>
      <c r="H86" s="185"/>
      <c r="I86" s="185"/>
      <c r="J86" s="185"/>
      <c r="K86" s="185"/>
      <c r="L86" s="185"/>
      <c r="M86" s="460"/>
      <c r="N86" s="460"/>
      <c r="O86" s="460"/>
    </row>
    <row r="87" spans="1:15">
      <c r="A87" s="460"/>
      <c r="B87" s="185"/>
      <c r="C87" s="185"/>
      <c r="D87" s="185"/>
      <c r="E87" s="185"/>
      <c r="F87" s="185"/>
      <c r="G87" s="185"/>
      <c r="H87" s="185"/>
      <c r="I87" s="185"/>
      <c r="J87" s="185"/>
      <c r="K87" s="185"/>
      <c r="L87" s="185"/>
      <c r="M87" s="460"/>
      <c r="N87" s="460"/>
      <c r="O87" s="460"/>
    </row>
    <row r="88" spans="1:15">
      <c r="A88" s="460"/>
      <c r="B88" s="185"/>
      <c r="C88" s="185"/>
      <c r="D88" s="185"/>
      <c r="E88" s="185"/>
      <c r="F88" s="185"/>
      <c r="G88" s="185"/>
      <c r="H88" s="185"/>
      <c r="I88" s="185"/>
      <c r="J88" s="185"/>
      <c r="K88" s="185"/>
      <c r="L88" s="185"/>
      <c r="M88" s="460"/>
      <c r="N88" s="460"/>
      <c r="O88" s="460"/>
    </row>
    <row r="89" spans="1:15">
      <c r="A89" s="460"/>
      <c r="B89" s="185"/>
      <c r="C89" s="185"/>
      <c r="D89" s="185"/>
      <c r="E89" s="185"/>
      <c r="F89" s="185"/>
      <c r="G89" s="185"/>
      <c r="H89" s="185"/>
      <c r="I89" s="185"/>
      <c r="J89" s="185"/>
      <c r="K89" s="185"/>
      <c r="L89" s="185"/>
      <c r="M89" s="460"/>
      <c r="N89" s="460"/>
      <c r="O89" s="460"/>
    </row>
    <row r="90" spans="1:15">
      <c r="A90" s="460"/>
      <c r="B90" s="185"/>
      <c r="C90" s="185"/>
      <c r="D90" s="185"/>
      <c r="E90" s="185"/>
      <c r="F90" s="185"/>
      <c r="G90" s="185"/>
      <c r="H90" s="185"/>
      <c r="I90" s="185"/>
      <c r="J90" s="185"/>
      <c r="K90" s="185"/>
      <c r="L90" s="185"/>
      <c r="M90" s="460"/>
      <c r="N90" s="460"/>
      <c r="O90" s="460"/>
    </row>
    <row r="91" spans="1:15">
      <c r="A91" s="460"/>
      <c r="B91" s="185"/>
      <c r="C91" s="185"/>
      <c r="D91" s="185"/>
      <c r="E91" s="185"/>
      <c r="F91" s="185"/>
      <c r="G91" s="185"/>
      <c r="H91" s="185"/>
      <c r="I91" s="185"/>
      <c r="J91" s="185"/>
      <c r="K91" s="185"/>
      <c r="L91" s="185"/>
      <c r="M91" s="460"/>
      <c r="N91" s="460"/>
      <c r="O91" s="460"/>
    </row>
    <row r="92" spans="1:15">
      <c r="A92" s="460"/>
      <c r="B92" s="185"/>
      <c r="C92" s="185"/>
      <c r="D92" s="185"/>
      <c r="E92" s="185"/>
      <c r="F92" s="185"/>
      <c r="G92" s="185"/>
      <c r="H92" s="185"/>
      <c r="I92" s="185"/>
      <c r="J92" s="185"/>
      <c r="K92" s="185"/>
      <c r="L92" s="185"/>
      <c r="M92" s="460"/>
      <c r="N92" s="460"/>
      <c r="O92" s="460"/>
    </row>
    <row r="93" spans="1:15">
      <c r="A93" s="460"/>
      <c r="B93" s="185"/>
      <c r="C93" s="185"/>
      <c r="D93" s="185"/>
      <c r="E93" s="185"/>
      <c r="F93" s="185"/>
      <c r="G93" s="185"/>
      <c r="H93" s="185"/>
      <c r="I93" s="185"/>
      <c r="J93" s="185"/>
      <c r="K93" s="185"/>
      <c r="L93" s="185"/>
      <c r="M93" s="460"/>
      <c r="N93" s="460"/>
      <c r="O93" s="460"/>
    </row>
    <row r="94" spans="1:15">
      <c r="A94" s="460"/>
      <c r="B94" s="185"/>
      <c r="C94" s="185"/>
      <c r="D94" s="185"/>
      <c r="E94" s="185"/>
      <c r="F94" s="185"/>
      <c r="G94" s="185"/>
      <c r="H94" s="185"/>
      <c r="I94" s="185"/>
      <c r="J94" s="185"/>
      <c r="K94" s="185"/>
      <c r="L94" s="185"/>
      <c r="M94" s="460"/>
      <c r="N94" s="460"/>
      <c r="O94" s="460"/>
    </row>
    <row r="95" spans="1:15">
      <c r="A95" s="460"/>
      <c r="B95" s="185"/>
      <c r="C95" s="185"/>
      <c r="D95" s="185"/>
      <c r="E95" s="185"/>
      <c r="F95" s="185"/>
      <c r="G95" s="185"/>
      <c r="H95" s="185"/>
      <c r="I95" s="185"/>
      <c r="J95" s="185"/>
      <c r="K95" s="185"/>
      <c r="L95" s="185"/>
      <c r="M95" s="460"/>
      <c r="N95" s="460"/>
      <c r="O95" s="460"/>
    </row>
    <row r="96" spans="1:15">
      <c r="A96" s="460"/>
      <c r="B96" s="185"/>
      <c r="C96" s="185"/>
      <c r="D96" s="185"/>
      <c r="E96" s="185"/>
      <c r="F96" s="185"/>
      <c r="G96" s="185"/>
      <c r="H96" s="185"/>
      <c r="I96" s="185"/>
      <c r="J96" s="185"/>
      <c r="K96" s="185"/>
      <c r="L96" s="185"/>
      <c r="M96" s="460"/>
      <c r="N96" s="460"/>
      <c r="O96" s="460"/>
    </row>
    <row r="97" spans="1:15">
      <c r="A97" s="460"/>
      <c r="B97" s="185"/>
      <c r="C97" s="185"/>
      <c r="D97" s="185"/>
      <c r="E97" s="185"/>
      <c r="F97" s="185"/>
      <c r="G97" s="185"/>
      <c r="H97" s="185"/>
      <c r="I97" s="185"/>
      <c r="J97" s="185"/>
      <c r="K97" s="185"/>
      <c r="L97" s="185"/>
      <c r="M97" s="460"/>
      <c r="N97" s="460"/>
      <c r="O97" s="460"/>
    </row>
    <row r="98" spans="1:15">
      <c r="A98" s="460"/>
      <c r="B98" s="185"/>
      <c r="C98" s="185"/>
      <c r="D98" s="185"/>
      <c r="E98" s="185"/>
      <c r="F98" s="185"/>
      <c r="G98" s="185"/>
      <c r="H98" s="185"/>
      <c r="I98" s="185"/>
      <c r="J98" s="185"/>
      <c r="K98" s="185"/>
      <c r="L98" s="185"/>
      <c r="M98" s="460"/>
      <c r="N98" s="460"/>
      <c r="O98" s="460"/>
    </row>
    <row r="99" spans="1:15">
      <c r="A99" s="460"/>
      <c r="B99" s="185"/>
      <c r="C99" s="185"/>
      <c r="D99" s="185"/>
      <c r="E99" s="185"/>
      <c r="F99" s="185"/>
      <c r="G99" s="185"/>
      <c r="H99" s="185"/>
      <c r="I99" s="185"/>
      <c r="J99" s="185"/>
      <c r="K99" s="185"/>
      <c r="L99" s="185"/>
      <c r="M99" s="460"/>
      <c r="N99" s="460"/>
      <c r="O99" s="460"/>
    </row>
    <row r="100" spans="1:15">
      <c r="A100" s="460"/>
      <c r="B100" s="185"/>
      <c r="C100" s="185"/>
      <c r="D100" s="185"/>
      <c r="E100" s="185"/>
      <c r="F100" s="185"/>
      <c r="G100" s="185"/>
      <c r="H100" s="185"/>
      <c r="I100" s="185"/>
      <c r="J100" s="185"/>
      <c r="K100" s="185"/>
      <c r="L100" s="185"/>
      <c r="M100" s="460"/>
      <c r="N100" s="460"/>
      <c r="O100" s="460"/>
    </row>
    <row r="101" spans="1:15">
      <c r="A101" s="460"/>
      <c r="B101" s="185"/>
      <c r="C101" s="185"/>
      <c r="D101" s="185"/>
      <c r="E101" s="185"/>
      <c r="F101" s="185"/>
      <c r="G101" s="185"/>
      <c r="H101" s="185"/>
      <c r="I101" s="185"/>
      <c r="J101" s="185"/>
      <c r="K101" s="185"/>
      <c r="L101" s="185"/>
      <c r="M101" s="460"/>
      <c r="N101" s="460"/>
      <c r="O101" s="460"/>
    </row>
    <row r="102" spans="1:15">
      <c r="A102" s="460"/>
      <c r="B102" s="185"/>
      <c r="C102" s="185"/>
      <c r="D102" s="185"/>
      <c r="E102" s="185"/>
      <c r="F102" s="185"/>
      <c r="G102" s="185"/>
      <c r="H102" s="185"/>
      <c r="I102" s="185"/>
      <c r="J102" s="185"/>
      <c r="K102" s="185"/>
      <c r="L102" s="185"/>
      <c r="M102" s="460"/>
      <c r="N102" s="460"/>
      <c r="O102" s="460"/>
    </row>
    <row r="103" spans="1:15">
      <c r="A103" s="460"/>
      <c r="B103" s="185"/>
      <c r="C103" s="185"/>
      <c r="D103" s="185"/>
      <c r="E103" s="185"/>
      <c r="F103" s="185"/>
      <c r="G103" s="185"/>
      <c r="H103" s="185"/>
      <c r="I103" s="185"/>
      <c r="J103" s="185"/>
      <c r="K103" s="185"/>
      <c r="L103" s="185"/>
      <c r="M103" s="460"/>
      <c r="N103" s="460"/>
      <c r="O103" s="460"/>
    </row>
    <row r="104" spans="1:15">
      <c r="A104" s="460"/>
      <c r="B104" s="185"/>
      <c r="C104" s="185"/>
      <c r="D104" s="185"/>
      <c r="E104" s="185"/>
      <c r="F104" s="185"/>
      <c r="G104" s="185"/>
      <c r="H104" s="185"/>
      <c r="I104" s="185"/>
      <c r="J104" s="185"/>
      <c r="K104" s="185"/>
      <c r="L104" s="185"/>
      <c r="M104" s="460"/>
      <c r="N104" s="460"/>
      <c r="O104" s="460"/>
    </row>
    <row r="105" spans="1:15">
      <c r="A105" s="460"/>
      <c r="B105" s="185"/>
      <c r="C105" s="185"/>
      <c r="D105" s="185"/>
      <c r="E105" s="185"/>
      <c r="F105" s="185"/>
      <c r="G105" s="185"/>
      <c r="H105" s="185"/>
      <c r="I105" s="185"/>
      <c r="J105" s="185"/>
      <c r="K105" s="185"/>
      <c r="L105" s="185"/>
      <c r="M105" s="460"/>
      <c r="N105" s="460"/>
      <c r="O105" s="460"/>
    </row>
    <row r="106" spans="1:15">
      <c r="A106" s="460"/>
      <c r="B106" s="185"/>
      <c r="C106" s="185"/>
      <c r="D106" s="185"/>
      <c r="E106" s="185"/>
      <c r="F106" s="185"/>
      <c r="G106" s="185"/>
      <c r="H106" s="185"/>
      <c r="I106" s="185"/>
      <c r="J106" s="185"/>
      <c r="K106" s="185"/>
      <c r="L106" s="185"/>
      <c r="M106" s="460"/>
      <c r="N106" s="460"/>
      <c r="O106" s="460"/>
    </row>
    <row r="107" spans="1:15">
      <c r="A107" s="460"/>
      <c r="B107" s="185"/>
      <c r="C107" s="185"/>
      <c r="D107" s="185"/>
      <c r="E107" s="185"/>
      <c r="F107" s="185"/>
      <c r="G107" s="185"/>
      <c r="H107" s="185"/>
      <c r="I107" s="185"/>
      <c r="J107" s="185"/>
      <c r="K107" s="185"/>
      <c r="L107" s="185"/>
      <c r="M107" s="460"/>
      <c r="N107" s="460"/>
      <c r="O107" s="460"/>
    </row>
    <row r="108" spans="1:15">
      <c r="A108" s="460"/>
      <c r="B108" s="185"/>
      <c r="C108" s="185"/>
      <c r="D108" s="185"/>
      <c r="E108" s="185"/>
      <c r="F108" s="185"/>
      <c r="G108" s="185"/>
      <c r="H108" s="185"/>
      <c r="I108" s="185"/>
      <c r="J108" s="185"/>
      <c r="K108" s="185"/>
      <c r="L108" s="185"/>
      <c r="M108" s="460"/>
      <c r="N108" s="460"/>
      <c r="O108" s="460"/>
    </row>
    <row r="109" spans="1:15">
      <c r="A109" s="460"/>
      <c r="B109" s="185"/>
      <c r="C109" s="185"/>
      <c r="D109" s="185"/>
      <c r="E109" s="185"/>
      <c r="F109" s="185"/>
      <c r="G109" s="185"/>
      <c r="H109" s="185"/>
      <c r="I109" s="185"/>
      <c r="J109" s="185"/>
      <c r="K109" s="185"/>
      <c r="L109" s="185"/>
      <c r="M109" s="460"/>
      <c r="N109" s="460"/>
      <c r="O109" s="460"/>
    </row>
    <row r="110" spans="1:15">
      <c r="A110" s="460"/>
      <c r="B110" s="185"/>
      <c r="C110" s="185"/>
      <c r="D110" s="185"/>
      <c r="E110" s="185"/>
      <c r="F110" s="185"/>
      <c r="G110" s="185"/>
      <c r="H110" s="185"/>
      <c r="I110" s="185"/>
      <c r="J110" s="185"/>
      <c r="K110" s="185"/>
      <c r="L110" s="185"/>
      <c r="M110" s="460"/>
      <c r="N110" s="460"/>
      <c r="O110" s="460"/>
    </row>
    <row r="111" spans="1:15">
      <c r="A111" s="460"/>
      <c r="B111" s="185"/>
      <c r="C111" s="185"/>
      <c r="D111" s="185"/>
      <c r="E111" s="185"/>
      <c r="F111" s="185"/>
      <c r="G111" s="185"/>
      <c r="H111" s="185"/>
      <c r="I111" s="185"/>
      <c r="J111" s="185"/>
      <c r="K111" s="185"/>
      <c r="L111" s="185"/>
      <c r="M111" s="460"/>
      <c r="N111" s="460"/>
      <c r="O111" s="460"/>
    </row>
    <row r="112" spans="1:15">
      <c r="A112" s="460"/>
      <c r="B112" s="185"/>
      <c r="C112" s="185"/>
      <c r="D112" s="185"/>
      <c r="E112" s="185"/>
      <c r="F112" s="185"/>
      <c r="G112" s="185"/>
      <c r="H112" s="185"/>
      <c r="I112" s="185"/>
      <c r="J112" s="185"/>
      <c r="K112" s="185"/>
      <c r="L112" s="185"/>
      <c r="M112" s="460"/>
      <c r="N112" s="460"/>
      <c r="O112" s="460"/>
    </row>
    <row r="113" spans="1:15">
      <c r="A113" s="460"/>
      <c r="B113" s="185"/>
      <c r="C113" s="185"/>
      <c r="D113" s="185"/>
      <c r="E113" s="185"/>
      <c r="F113" s="185"/>
      <c r="G113" s="185"/>
      <c r="H113" s="185"/>
      <c r="I113" s="185"/>
      <c r="J113" s="185"/>
      <c r="K113" s="185"/>
      <c r="L113" s="185"/>
      <c r="M113" s="460"/>
      <c r="N113" s="460"/>
      <c r="O113" s="460"/>
    </row>
    <row r="114" spans="1:15">
      <c r="A114" s="460"/>
      <c r="B114" s="185"/>
      <c r="C114" s="185"/>
      <c r="D114" s="185"/>
      <c r="E114" s="185"/>
      <c r="F114" s="185"/>
      <c r="G114" s="185"/>
      <c r="H114" s="185"/>
      <c r="I114" s="185"/>
      <c r="J114" s="185"/>
      <c r="K114" s="185"/>
      <c r="L114" s="185"/>
      <c r="M114" s="460"/>
      <c r="N114" s="460"/>
      <c r="O114" s="460"/>
    </row>
    <row r="115" spans="1:15">
      <c r="A115" s="460"/>
      <c r="B115" s="185"/>
      <c r="C115" s="185"/>
      <c r="D115" s="185"/>
      <c r="E115" s="185"/>
      <c r="F115" s="185"/>
      <c r="G115" s="185"/>
      <c r="H115" s="185"/>
      <c r="I115" s="185"/>
      <c r="J115" s="185"/>
      <c r="K115" s="185"/>
      <c r="L115" s="185"/>
      <c r="M115" s="460"/>
      <c r="N115" s="460"/>
      <c r="O115" s="460"/>
    </row>
    <row r="116" spans="1:15">
      <c r="A116" s="460"/>
      <c r="B116" s="185"/>
      <c r="C116" s="185"/>
      <c r="D116" s="185"/>
      <c r="E116" s="185"/>
      <c r="F116" s="185"/>
      <c r="G116" s="185"/>
      <c r="H116" s="185"/>
      <c r="I116" s="185"/>
      <c r="J116" s="185"/>
      <c r="K116" s="185"/>
      <c r="L116" s="185"/>
      <c r="M116" s="460"/>
      <c r="N116" s="460"/>
      <c r="O116" s="460"/>
    </row>
    <row r="117" spans="1:15">
      <c r="A117" s="460"/>
      <c r="B117" s="185"/>
      <c r="C117" s="185"/>
      <c r="D117" s="185"/>
      <c r="E117" s="185"/>
      <c r="F117" s="185"/>
      <c r="G117" s="185"/>
      <c r="H117" s="185"/>
      <c r="I117" s="185"/>
      <c r="J117" s="185"/>
      <c r="K117" s="185"/>
      <c r="L117" s="185"/>
      <c r="M117" s="460"/>
      <c r="N117" s="460"/>
      <c r="O117" s="460"/>
    </row>
    <row r="118" spans="1:15">
      <c r="A118" s="460"/>
      <c r="B118" s="185"/>
      <c r="C118" s="185"/>
      <c r="D118" s="185"/>
      <c r="E118" s="185"/>
      <c r="F118" s="185"/>
      <c r="G118" s="185"/>
      <c r="H118" s="185"/>
      <c r="I118" s="185"/>
      <c r="J118" s="185"/>
      <c r="K118" s="185"/>
      <c r="L118" s="185"/>
      <c r="M118" s="460"/>
      <c r="N118" s="460"/>
      <c r="O118" s="460"/>
    </row>
    <row r="119" spans="1:15">
      <c r="A119" s="460"/>
      <c r="B119" s="185"/>
      <c r="C119" s="185"/>
      <c r="D119" s="185"/>
      <c r="E119" s="185"/>
      <c r="F119" s="185"/>
      <c r="G119" s="185"/>
      <c r="H119" s="185"/>
      <c r="I119" s="185"/>
      <c r="J119" s="185"/>
      <c r="K119" s="185"/>
      <c r="L119" s="185"/>
      <c r="M119" s="460"/>
      <c r="N119" s="460"/>
      <c r="O119" s="460"/>
    </row>
    <row r="120" spans="1:15">
      <c r="A120" s="460"/>
      <c r="B120" s="185"/>
      <c r="C120" s="185"/>
      <c r="D120" s="185"/>
      <c r="E120" s="185"/>
      <c r="F120" s="185"/>
      <c r="G120" s="185"/>
      <c r="H120" s="185"/>
      <c r="I120" s="185"/>
      <c r="J120" s="185"/>
      <c r="K120" s="185"/>
      <c r="L120" s="185"/>
      <c r="M120" s="460"/>
      <c r="N120" s="460"/>
      <c r="O120" s="460"/>
    </row>
    <row r="121" spans="1:15">
      <c r="A121" s="460"/>
      <c r="B121" s="185"/>
      <c r="C121" s="185"/>
      <c r="D121" s="185"/>
      <c r="E121" s="185"/>
      <c r="F121" s="185"/>
      <c r="G121" s="185"/>
      <c r="H121" s="185"/>
      <c r="I121" s="185"/>
      <c r="J121" s="185"/>
      <c r="K121" s="185"/>
      <c r="L121" s="185"/>
      <c r="M121" s="460"/>
      <c r="N121" s="460"/>
      <c r="O121" s="460"/>
    </row>
    <row r="122" spans="1:15">
      <c r="A122" s="460"/>
      <c r="B122" s="185"/>
      <c r="C122" s="185"/>
      <c r="D122" s="185"/>
      <c r="E122" s="185"/>
      <c r="F122" s="185"/>
      <c r="G122" s="185"/>
      <c r="H122" s="185"/>
      <c r="I122" s="185"/>
      <c r="J122" s="185"/>
      <c r="K122" s="185"/>
      <c r="L122" s="185"/>
      <c r="M122" s="460"/>
      <c r="N122" s="460"/>
      <c r="O122" s="460"/>
    </row>
    <row r="123" spans="1:15">
      <c r="A123" s="460"/>
      <c r="B123" s="185"/>
      <c r="C123" s="185"/>
      <c r="D123" s="185"/>
      <c r="E123" s="185"/>
      <c r="F123" s="185"/>
      <c r="G123" s="185"/>
      <c r="H123" s="185"/>
      <c r="I123" s="185"/>
      <c r="J123" s="185"/>
      <c r="K123" s="185"/>
      <c r="L123" s="185"/>
      <c r="M123" s="460"/>
      <c r="N123" s="460"/>
      <c r="O123" s="460"/>
    </row>
    <row r="124" spans="1:15">
      <c r="A124" s="460"/>
      <c r="B124" s="185"/>
      <c r="C124" s="185"/>
      <c r="D124" s="185"/>
      <c r="E124" s="185"/>
      <c r="F124" s="185"/>
      <c r="G124" s="185"/>
      <c r="H124" s="185"/>
      <c r="I124" s="185"/>
      <c r="J124" s="185"/>
      <c r="K124" s="185"/>
      <c r="L124" s="185"/>
      <c r="M124" s="460"/>
      <c r="N124" s="460"/>
      <c r="O124" s="460"/>
    </row>
    <row r="125" spans="1:15">
      <c r="A125" s="460"/>
      <c r="B125" s="185"/>
      <c r="C125" s="185"/>
      <c r="D125" s="185"/>
      <c r="E125" s="185"/>
      <c r="F125" s="185"/>
      <c r="G125" s="185"/>
      <c r="H125" s="185"/>
      <c r="I125" s="185"/>
      <c r="J125" s="185"/>
      <c r="K125" s="185"/>
      <c r="L125" s="185"/>
      <c r="M125" s="460"/>
      <c r="N125" s="460"/>
      <c r="O125" s="460"/>
    </row>
    <row r="126" spans="1:15">
      <c r="A126" s="460"/>
      <c r="B126" s="185"/>
      <c r="C126" s="185"/>
      <c r="D126" s="185"/>
      <c r="E126" s="185"/>
      <c r="F126" s="185"/>
      <c r="G126" s="185"/>
      <c r="H126" s="185"/>
      <c r="I126" s="185"/>
      <c r="J126" s="185"/>
      <c r="K126" s="185"/>
      <c r="L126" s="185"/>
      <c r="M126" s="460"/>
      <c r="N126" s="460"/>
      <c r="O126" s="460"/>
    </row>
    <row r="127" spans="1:15">
      <c r="A127" s="460"/>
      <c r="B127" s="185"/>
      <c r="C127" s="185"/>
      <c r="D127" s="185"/>
      <c r="E127" s="185"/>
      <c r="F127" s="185"/>
      <c r="G127" s="185"/>
      <c r="H127" s="185"/>
      <c r="I127" s="185"/>
      <c r="J127" s="185"/>
      <c r="K127" s="185"/>
      <c r="L127" s="185"/>
      <c r="M127" s="460"/>
      <c r="N127" s="460"/>
      <c r="O127" s="460"/>
    </row>
    <row r="128" spans="1:15">
      <c r="A128" s="460"/>
      <c r="B128" s="185"/>
      <c r="C128" s="185"/>
      <c r="D128" s="185"/>
      <c r="E128" s="185"/>
      <c r="F128" s="185"/>
      <c r="G128" s="185"/>
      <c r="H128" s="185"/>
      <c r="I128" s="185"/>
      <c r="J128" s="185"/>
      <c r="K128" s="185"/>
      <c r="L128" s="185"/>
      <c r="M128" s="460"/>
      <c r="N128" s="460"/>
      <c r="O128" s="460"/>
    </row>
    <row r="129" spans="1:15">
      <c r="A129" s="460"/>
      <c r="B129" s="185"/>
      <c r="C129" s="185"/>
      <c r="D129" s="185"/>
      <c r="E129" s="185"/>
      <c r="F129" s="185"/>
      <c r="G129" s="185"/>
      <c r="H129" s="185"/>
      <c r="I129" s="185"/>
      <c r="J129" s="185"/>
      <c r="K129" s="185"/>
      <c r="L129" s="185"/>
      <c r="M129" s="460"/>
      <c r="N129" s="460"/>
      <c r="O129" s="460"/>
    </row>
    <row r="130" spans="1:15">
      <c r="A130" s="460"/>
      <c r="B130" s="185"/>
      <c r="C130" s="185"/>
      <c r="D130" s="185"/>
      <c r="E130" s="185"/>
      <c r="F130" s="185"/>
      <c r="G130" s="185"/>
      <c r="H130" s="185"/>
      <c r="I130" s="185"/>
      <c r="J130" s="185"/>
      <c r="K130" s="185"/>
      <c r="L130" s="185"/>
      <c r="M130" s="460"/>
      <c r="N130" s="460"/>
      <c r="O130" s="460"/>
    </row>
    <row r="131" spans="1:15">
      <c r="A131" s="460"/>
      <c r="B131" s="185"/>
      <c r="C131" s="185"/>
      <c r="D131" s="185"/>
      <c r="E131" s="185"/>
      <c r="F131" s="185"/>
      <c r="G131" s="185"/>
      <c r="H131" s="185"/>
      <c r="I131" s="185"/>
      <c r="J131" s="185"/>
      <c r="K131" s="185"/>
      <c r="L131" s="185"/>
      <c r="M131" s="460"/>
      <c r="N131" s="460"/>
      <c r="O131" s="460"/>
    </row>
    <row r="132" spans="1:15">
      <c r="A132" s="460"/>
      <c r="B132" s="185"/>
      <c r="C132" s="185"/>
      <c r="D132" s="185"/>
      <c r="E132" s="185"/>
      <c r="F132" s="185"/>
      <c r="G132" s="185"/>
      <c r="H132" s="185"/>
      <c r="I132" s="185"/>
      <c r="J132" s="185"/>
      <c r="K132" s="185"/>
      <c r="L132" s="185"/>
      <c r="M132" s="460"/>
      <c r="N132" s="460"/>
      <c r="O132" s="460"/>
    </row>
    <row r="133" spans="1:15">
      <c r="A133" s="460"/>
      <c r="B133" s="185"/>
      <c r="C133" s="185"/>
      <c r="D133" s="185"/>
      <c r="E133" s="185"/>
      <c r="F133" s="185"/>
      <c r="G133" s="185"/>
      <c r="H133" s="185"/>
      <c r="I133" s="185"/>
      <c r="J133" s="185"/>
      <c r="K133" s="185"/>
      <c r="L133" s="185"/>
      <c r="M133" s="460"/>
      <c r="N133" s="460"/>
      <c r="O133" s="460"/>
    </row>
    <row r="134" spans="1:15">
      <c r="A134" s="460"/>
      <c r="B134" s="185"/>
      <c r="C134" s="185"/>
      <c r="D134" s="185"/>
      <c r="E134" s="185"/>
      <c r="F134" s="185"/>
      <c r="G134" s="185"/>
      <c r="H134" s="185"/>
      <c r="I134" s="185"/>
      <c r="J134" s="185"/>
      <c r="K134" s="185"/>
      <c r="L134" s="185"/>
      <c r="M134" s="460"/>
      <c r="N134" s="460"/>
      <c r="O134" s="460"/>
    </row>
    <row r="135" spans="1:15">
      <c r="A135" s="460"/>
      <c r="B135" s="185"/>
      <c r="C135" s="185"/>
      <c r="D135" s="185"/>
      <c r="E135" s="185"/>
      <c r="F135" s="185"/>
      <c r="G135" s="185"/>
      <c r="H135" s="185"/>
      <c r="I135" s="185"/>
      <c r="J135" s="185"/>
      <c r="K135" s="185"/>
      <c r="L135" s="185"/>
      <c r="M135" s="460"/>
      <c r="N135" s="460"/>
      <c r="O135" s="460"/>
    </row>
    <row r="136" spans="1:15">
      <c r="A136" s="460"/>
      <c r="B136" s="185"/>
      <c r="C136" s="185"/>
      <c r="D136" s="185"/>
      <c r="E136" s="185"/>
      <c r="F136" s="185"/>
      <c r="G136" s="185"/>
      <c r="H136" s="185"/>
      <c r="I136" s="185"/>
      <c r="J136" s="185"/>
      <c r="K136" s="185"/>
      <c r="L136" s="185"/>
      <c r="M136" s="460"/>
      <c r="N136" s="460"/>
      <c r="O136" s="460"/>
    </row>
    <row r="137" spans="1:15">
      <c r="A137" s="460"/>
      <c r="B137" s="185"/>
      <c r="C137" s="185"/>
      <c r="D137" s="185"/>
      <c r="E137" s="185"/>
      <c r="F137" s="185"/>
      <c r="G137" s="185"/>
      <c r="H137" s="185"/>
      <c r="I137" s="185"/>
      <c r="J137" s="185"/>
      <c r="K137" s="185"/>
      <c r="L137" s="185"/>
      <c r="M137" s="460"/>
      <c r="N137" s="460"/>
      <c r="O137" s="460"/>
    </row>
    <row r="138" spans="1:15">
      <c r="A138" s="460"/>
      <c r="B138" s="185"/>
      <c r="C138" s="185"/>
      <c r="D138" s="185"/>
      <c r="E138" s="185"/>
      <c r="F138" s="185"/>
      <c r="G138" s="185"/>
      <c r="H138" s="185"/>
      <c r="I138" s="185"/>
      <c r="J138" s="185"/>
      <c r="K138" s="185"/>
      <c r="L138" s="185"/>
      <c r="M138" s="460"/>
      <c r="N138" s="460"/>
      <c r="O138" s="460"/>
    </row>
    <row r="139" spans="1:15">
      <c r="A139" s="460"/>
      <c r="B139" s="185"/>
      <c r="C139" s="185"/>
      <c r="D139" s="185"/>
      <c r="E139" s="185"/>
      <c r="F139" s="185"/>
      <c r="G139" s="185"/>
      <c r="H139" s="185"/>
      <c r="I139" s="185"/>
      <c r="J139" s="185"/>
      <c r="K139" s="185"/>
      <c r="L139" s="185"/>
      <c r="M139" s="460"/>
      <c r="N139" s="460"/>
      <c r="O139" s="460"/>
    </row>
    <row r="140" spans="1:15">
      <c r="A140" s="460"/>
      <c r="B140" s="185"/>
      <c r="C140" s="185"/>
      <c r="D140" s="185"/>
      <c r="E140" s="185"/>
      <c r="F140" s="185"/>
      <c r="G140" s="185"/>
      <c r="H140" s="185"/>
      <c r="I140" s="185"/>
      <c r="J140" s="185"/>
      <c r="K140" s="185"/>
      <c r="L140" s="185"/>
      <c r="M140" s="460"/>
      <c r="N140" s="460"/>
      <c r="O140" s="460"/>
    </row>
    <row r="141" spans="1:15">
      <c r="A141" s="460"/>
      <c r="B141" s="185"/>
      <c r="C141" s="185"/>
      <c r="D141" s="185"/>
      <c r="E141" s="185"/>
      <c r="F141" s="185"/>
      <c r="G141" s="185"/>
      <c r="H141" s="185"/>
      <c r="I141" s="185"/>
      <c r="J141" s="185"/>
      <c r="K141" s="185"/>
      <c r="L141" s="185"/>
      <c r="M141" s="460"/>
      <c r="N141" s="460"/>
      <c r="O141" s="460"/>
    </row>
    <row r="142" spans="1:15">
      <c r="A142" s="460"/>
      <c r="B142" s="185"/>
      <c r="C142" s="185"/>
      <c r="D142" s="185"/>
      <c r="E142" s="185"/>
      <c r="F142" s="185"/>
      <c r="G142" s="185"/>
      <c r="H142" s="185"/>
      <c r="I142" s="185"/>
      <c r="J142" s="185"/>
      <c r="K142" s="185"/>
      <c r="L142" s="185"/>
      <c r="M142" s="460"/>
      <c r="N142" s="460"/>
      <c r="O142" s="460"/>
    </row>
    <row r="143" spans="1:15">
      <c r="A143" s="460"/>
      <c r="B143" s="185"/>
      <c r="C143" s="185"/>
      <c r="D143" s="185"/>
      <c r="E143" s="185"/>
      <c r="F143" s="185"/>
      <c r="G143" s="185"/>
      <c r="H143" s="185"/>
      <c r="I143" s="185"/>
      <c r="J143" s="185"/>
      <c r="K143" s="185"/>
      <c r="L143" s="185"/>
      <c r="M143" s="460"/>
      <c r="N143" s="460"/>
      <c r="O143" s="460"/>
    </row>
    <row r="144" spans="1:15">
      <c r="A144" s="460"/>
      <c r="B144" s="185"/>
      <c r="C144" s="185"/>
      <c r="D144" s="185"/>
      <c r="E144" s="185"/>
      <c r="F144" s="185"/>
      <c r="G144" s="185"/>
      <c r="H144" s="185"/>
      <c r="I144" s="185"/>
      <c r="J144" s="185"/>
      <c r="K144" s="185"/>
      <c r="L144" s="185"/>
      <c r="M144" s="460"/>
      <c r="N144" s="460"/>
      <c r="O144" s="460"/>
    </row>
    <row r="145" spans="1:15">
      <c r="A145" s="460"/>
      <c r="B145" s="185"/>
      <c r="C145" s="185"/>
      <c r="D145" s="185"/>
      <c r="E145" s="185"/>
      <c r="F145" s="185"/>
      <c r="G145" s="185"/>
      <c r="H145" s="185"/>
      <c r="I145" s="185"/>
      <c r="J145" s="185"/>
      <c r="K145" s="185"/>
      <c r="L145" s="185"/>
      <c r="M145" s="460"/>
      <c r="N145" s="460"/>
      <c r="O145" s="460"/>
    </row>
    <row r="146" spans="1:15">
      <c r="A146" s="460"/>
      <c r="B146" s="185"/>
      <c r="C146" s="185"/>
      <c r="D146" s="185"/>
      <c r="E146" s="185"/>
      <c r="F146" s="185"/>
      <c r="G146" s="185"/>
      <c r="H146" s="185"/>
      <c r="I146" s="185"/>
      <c r="J146" s="185"/>
      <c r="K146" s="185"/>
      <c r="L146" s="185"/>
      <c r="M146" s="460"/>
      <c r="N146" s="460"/>
      <c r="O146" s="460"/>
    </row>
    <row r="147" spans="1:15">
      <c r="A147" s="460"/>
      <c r="B147" s="185"/>
      <c r="C147" s="185"/>
      <c r="D147" s="185"/>
      <c r="E147" s="185"/>
      <c r="F147" s="185"/>
      <c r="G147" s="185"/>
      <c r="H147" s="185"/>
      <c r="I147" s="185"/>
      <c r="J147" s="185"/>
      <c r="K147" s="185"/>
      <c r="L147" s="185"/>
      <c r="M147" s="460"/>
      <c r="N147" s="460"/>
      <c r="O147" s="460"/>
    </row>
    <row r="148" spans="1:15">
      <c r="A148" s="460"/>
      <c r="B148" s="185"/>
      <c r="C148" s="185"/>
      <c r="D148" s="185"/>
      <c r="E148" s="185"/>
      <c r="F148" s="185"/>
      <c r="G148" s="185"/>
      <c r="H148" s="185"/>
      <c r="I148" s="185"/>
      <c r="J148" s="185"/>
      <c r="K148" s="185"/>
      <c r="L148" s="185"/>
      <c r="M148" s="460"/>
      <c r="N148" s="460"/>
      <c r="O148" s="460"/>
    </row>
    <row r="149" spans="1:15">
      <c r="A149" s="460"/>
      <c r="B149" s="185"/>
      <c r="C149" s="185"/>
      <c r="D149" s="185"/>
      <c r="E149" s="185"/>
      <c r="F149" s="185"/>
      <c r="G149" s="185"/>
      <c r="H149" s="185"/>
      <c r="I149" s="185"/>
      <c r="J149" s="185"/>
      <c r="K149" s="185"/>
      <c r="L149" s="185"/>
      <c r="M149" s="460"/>
      <c r="N149" s="460"/>
      <c r="O149" s="460"/>
    </row>
    <row r="150" spans="1:15">
      <c r="A150" s="460"/>
      <c r="B150" s="185"/>
      <c r="C150" s="185"/>
      <c r="D150" s="185"/>
      <c r="E150" s="185"/>
      <c r="F150" s="185"/>
      <c r="G150" s="185"/>
      <c r="H150" s="185"/>
      <c r="I150" s="185"/>
      <c r="J150" s="185"/>
      <c r="K150" s="185"/>
      <c r="L150" s="185"/>
      <c r="M150" s="460"/>
      <c r="N150" s="460"/>
      <c r="O150" s="460"/>
    </row>
    <row r="151" spans="1:15">
      <c r="A151" s="460"/>
      <c r="B151" s="185"/>
      <c r="C151" s="185"/>
      <c r="D151" s="185"/>
      <c r="E151" s="185"/>
      <c r="F151" s="185"/>
      <c r="G151" s="185"/>
      <c r="H151" s="185"/>
      <c r="I151" s="185"/>
      <c r="J151" s="185"/>
      <c r="K151" s="185"/>
      <c r="L151" s="185"/>
      <c r="M151" s="460"/>
      <c r="N151" s="460"/>
      <c r="O151" s="460"/>
    </row>
    <row r="152" spans="1:15">
      <c r="A152" s="460"/>
      <c r="B152" s="185"/>
      <c r="C152" s="185"/>
      <c r="D152" s="185"/>
      <c r="E152" s="185"/>
      <c r="F152" s="185"/>
      <c r="G152" s="185"/>
      <c r="H152" s="185"/>
      <c r="I152" s="185"/>
      <c r="J152" s="185"/>
      <c r="K152" s="185"/>
      <c r="L152" s="185"/>
      <c r="M152" s="460"/>
      <c r="N152" s="460"/>
      <c r="O152" s="460"/>
    </row>
    <row r="153" spans="1:15">
      <c r="A153" s="460"/>
      <c r="B153" s="185"/>
      <c r="C153" s="185"/>
      <c r="D153" s="185"/>
      <c r="E153" s="185"/>
      <c r="F153" s="185"/>
      <c r="G153" s="185"/>
      <c r="H153" s="185"/>
      <c r="I153" s="185"/>
      <c r="J153" s="185"/>
      <c r="K153" s="185"/>
      <c r="L153" s="185"/>
      <c r="M153" s="460"/>
      <c r="N153" s="460"/>
      <c r="O153" s="460"/>
    </row>
    <row r="154" spans="1:15">
      <c r="A154" s="460"/>
      <c r="B154" s="185"/>
      <c r="C154" s="185"/>
      <c r="D154" s="185"/>
      <c r="E154" s="185"/>
      <c r="F154" s="185"/>
      <c r="G154" s="185"/>
      <c r="H154" s="185"/>
      <c r="I154" s="185"/>
      <c r="J154" s="185"/>
      <c r="K154" s="185"/>
      <c r="L154" s="185"/>
      <c r="M154" s="460"/>
      <c r="N154" s="460"/>
      <c r="O154" s="460"/>
    </row>
    <row r="155" spans="1:15">
      <c r="A155" s="460"/>
      <c r="B155" s="185"/>
      <c r="C155" s="185"/>
      <c r="D155" s="185"/>
      <c r="E155" s="185"/>
      <c r="F155" s="185"/>
      <c r="G155" s="185"/>
      <c r="H155" s="185"/>
      <c r="I155" s="185"/>
      <c r="J155" s="185"/>
      <c r="K155" s="185"/>
      <c r="L155" s="185"/>
      <c r="M155" s="460"/>
      <c r="N155" s="460"/>
      <c r="O155" s="460"/>
    </row>
    <row r="156" spans="1:15">
      <c r="A156" s="460"/>
      <c r="B156" s="185"/>
      <c r="C156" s="185"/>
      <c r="D156" s="185"/>
      <c r="E156" s="185"/>
      <c r="F156" s="185"/>
      <c r="G156" s="185"/>
      <c r="H156" s="185"/>
      <c r="I156" s="185"/>
      <c r="J156" s="185"/>
      <c r="K156" s="185"/>
      <c r="L156" s="185"/>
      <c r="M156" s="460"/>
      <c r="N156" s="460"/>
      <c r="O156" s="460"/>
    </row>
    <row r="157" spans="1:15">
      <c r="A157" s="460"/>
      <c r="B157" s="185"/>
      <c r="C157" s="185"/>
      <c r="D157" s="185"/>
      <c r="E157" s="185"/>
      <c r="F157" s="185"/>
      <c r="G157" s="185"/>
      <c r="H157" s="185"/>
      <c r="I157" s="185"/>
      <c r="J157" s="185"/>
      <c r="K157" s="185"/>
      <c r="L157" s="185"/>
      <c r="M157" s="460"/>
      <c r="N157" s="460"/>
      <c r="O157" s="460"/>
    </row>
    <row r="158" spans="1:15">
      <c r="A158" s="460"/>
      <c r="B158" s="185"/>
      <c r="C158" s="185"/>
      <c r="D158" s="185"/>
      <c r="E158" s="185"/>
      <c r="F158" s="185"/>
      <c r="G158" s="185"/>
      <c r="H158" s="185"/>
      <c r="I158" s="185"/>
      <c r="J158" s="185"/>
      <c r="K158" s="185"/>
      <c r="L158" s="185"/>
      <c r="M158" s="460"/>
      <c r="N158" s="460"/>
      <c r="O158" s="460"/>
    </row>
    <row r="159" spans="1:15">
      <c r="A159" s="460"/>
      <c r="B159" s="185"/>
      <c r="C159" s="185"/>
      <c r="D159" s="185"/>
      <c r="E159" s="185"/>
      <c r="F159" s="185"/>
      <c r="G159" s="185"/>
      <c r="H159" s="185"/>
      <c r="I159" s="185"/>
      <c r="J159" s="185"/>
      <c r="K159" s="185"/>
      <c r="L159" s="185"/>
      <c r="M159" s="460"/>
      <c r="N159" s="460"/>
      <c r="O159" s="460"/>
    </row>
    <row r="160" spans="1:15">
      <c r="A160" s="460"/>
      <c r="B160" s="185"/>
      <c r="C160" s="185"/>
      <c r="D160" s="185"/>
      <c r="E160" s="185"/>
      <c r="F160" s="185"/>
      <c r="G160" s="185"/>
      <c r="H160" s="185"/>
      <c r="I160" s="185"/>
      <c r="J160" s="185"/>
      <c r="K160" s="185"/>
      <c r="L160" s="185"/>
      <c r="M160" s="460"/>
      <c r="N160" s="460"/>
      <c r="O160" s="460"/>
    </row>
    <row r="161" spans="1:15">
      <c r="A161" s="460"/>
      <c r="B161" s="185"/>
      <c r="C161" s="185"/>
      <c r="D161" s="185"/>
      <c r="E161" s="185"/>
      <c r="F161" s="185"/>
      <c r="G161" s="185"/>
      <c r="H161" s="185"/>
      <c r="I161" s="185"/>
      <c r="J161" s="185"/>
      <c r="K161" s="185"/>
      <c r="L161" s="185"/>
      <c r="M161" s="460"/>
      <c r="N161" s="460"/>
      <c r="O161" s="460"/>
    </row>
    <row r="162" spans="1:15">
      <c r="A162" s="460"/>
      <c r="B162" s="185"/>
      <c r="C162" s="185"/>
      <c r="D162" s="185"/>
      <c r="E162" s="185"/>
      <c r="F162" s="185"/>
      <c r="G162" s="185"/>
      <c r="H162" s="185"/>
      <c r="I162" s="185"/>
      <c r="J162" s="185"/>
      <c r="K162" s="185"/>
      <c r="L162" s="185"/>
      <c r="M162" s="460"/>
      <c r="N162" s="460"/>
      <c r="O162" s="460"/>
    </row>
    <row r="163" spans="1:15">
      <c r="A163" s="460"/>
      <c r="B163" s="185"/>
      <c r="C163" s="185"/>
      <c r="D163" s="185"/>
      <c r="E163" s="185"/>
      <c r="F163" s="185"/>
      <c r="G163" s="185"/>
      <c r="H163" s="185"/>
      <c r="I163" s="185"/>
      <c r="J163" s="185"/>
      <c r="K163" s="185"/>
      <c r="L163" s="185"/>
      <c r="M163" s="460"/>
      <c r="N163" s="460"/>
      <c r="O163" s="460"/>
    </row>
    <row r="164" spans="1:15">
      <c r="A164" s="460"/>
      <c r="B164" s="185"/>
      <c r="C164" s="185"/>
      <c r="D164" s="185"/>
      <c r="E164" s="185"/>
      <c r="F164" s="185"/>
      <c r="G164" s="185"/>
      <c r="H164" s="185"/>
      <c r="I164" s="185"/>
      <c r="J164" s="185"/>
      <c r="K164" s="185"/>
      <c r="L164" s="185"/>
      <c r="M164" s="460"/>
      <c r="N164" s="460"/>
      <c r="O164" s="460"/>
    </row>
    <row r="165" spans="1:15">
      <c r="A165" s="460"/>
      <c r="B165" s="185"/>
      <c r="C165" s="185"/>
      <c r="D165" s="185"/>
      <c r="E165" s="185"/>
      <c r="F165" s="185"/>
      <c r="G165" s="185"/>
      <c r="H165" s="185"/>
      <c r="I165" s="185"/>
      <c r="J165" s="185"/>
      <c r="K165" s="185"/>
      <c r="L165" s="185"/>
      <c r="M165" s="460"/>
      <c r="N165" s="460"/>
      <c r="O165" s="460"/>
    </row>
    <row r="166" spans="1:15">
      <c r="A166" s="460"/>
      <c r="B166" s="185"/>
      <c r="C166" s="185"/>
      <c r="D166" s="185"/>
      <c r="E166" s="185"/>
      <c r="F166" s="185"/>
      <c r="G166" s="185"/>
      <c r="H166" s="185"/>
      <c r="I166" s="185"/>
      <c r="J166" s="185"/>
      <c r="K166" s="185"/>
      <c r="L166" s="185"/>
      <c r="M166" s="460"/>
      <c r="N166" s="460"/>
      <c r="O166" s="460"/>
    </row>
    <row r="167" spans="1:15">
      <c r="A167" s="460"/>
      <c r="B167" s="185"/>
      <c r="C167" s="185"/>
      <c r="D167" s="185"/>
      <c r="E167" s="185"/>
      <c r="F167" s="185"/>
      <c r="G167" s="185"/>
      <c r="H167" s="185"/>
      <c r="I167" s="185"/>
      <c r="J167" s="185"/>
      <c r="K167" s="185"/>
      <c r="L167" s="185"/>
      <c r="M167" s="460"/>
      <c r="N167" s="460"/>
      <c r="O167" s="460"/>
    </row>
    <row r="168" spans="1:15">
      <c r="A168" s="460"/>
      <c r="B168" s="185"/>
      <c r="C168" s="185"/>
      <c r="D168" s="185"/>
      <c r="E168" s="185"/>
      <c r="F168" s="185"/>
      <c r="G168" s="185"/>
      <c r="H168" s="185"/>
      <c r="I168" s="185"/>
      <c r="J168" s="185"/>
      <c r="K168" s="185"/>
      <c r="L168" s="185"/>
      <c r="M168" s="460"/>
      <c r="N168" s="460"/>
      <c r="O168" s="460"/>
    </row>
    <row r="169" spans="1:15">
      <c r="A169" s="460"/>
      <c r="B169" s="185"/>
      <c r="C169" s="185"/>
      <c r="D169" s="185"/>
      <c r="E169" s="185"/>
      <c r="F169" s="185"/>
      <c r="G169" s="185"/>
      <c r="H169" s="185"/>
      <c r="I169" s="185"/>
      <c r="J169" s="185"/>
      <c r="K169" s="185"/>
      <c r="L169" s="185"/>
      <c r="M169" s="460"/>
      <c r="N169" s="460"/>
      <c r="O169" s="460"/>
    </row>
    <row r="170" spans="1:15">
      <c r="A170" s="460"/>
      <c r="B170" s="185"/>
      <c r="C170" s="185"/>
      <c r="D170" s="185"/>
      <c r="E170" s="185"/>
      <c r="F170" s="185"/>
      <c r="G170" s="185"/>
      <c r="H170" s="185"/>
      <c r="I170" s="185"/>
      <c r="J170" s="185"/>
      <c r="K170" s="185"/>
      <c r="L170" s="185"/>
      <c r="M170" s="460"/>
      <c r="N170" s="460"/>
      <c r="O170" s="460"/>
    </row>
    <row r="171" spans="1:15">
      <c r="A171" s="460"/>
      <c r="B171" s="185"/>
      <c r="C171" s="185"/>
      <c r="D171" s="185"/>
      <c r="E171" s="185"/>
      <c r="F171" s="185"/>
      <c r="G171" s="185"/>
      <c r="H171" s="185"/>
      <c r="I171" s="185"/>
      <c r="J171" s="185"/>
      <c r="K171" s="185"/>
      <c r="L171" s="185"/>
      <c r="M171" s="460"/>
      <c r="N171" s="460"/>
      <c r="O171" s="460"/>
    </row>
    <row r="172" spans="1:15">
      <c r="A172" s="460"/>
      <c r="B172" s="185"/>
      <c r="C172" s="185"/>
      <c r="D172" s="185"/>
      <c r="E172" s="185"/>
      <c r="F172" s="185"/>
      <c r="G172" s="185"/>
      <c r="H172" s="185"/>
      <c r="I172" s="185"/>
      <c r="J172" s="185"/>
      <c r="K172" s="185"/>
      <c r="L172" s="185"/>
      <c r="M172" s="460"/>
      <c r="N172" s="460"/>
      <c r="O172" s="460"/>
    </row>
    <row r="173" spans="1:15">
      <c r="A173" s="460"/>
      <c r="B173" s="185"/>
      <c r="C173" s="185"/>
      <c r="D173" s="185"/>
      <c r="E173" s="185"/>
      <c r="F173" s="185"/>
      <c r="G173" s="185"/>
      <c r="H173" s="185"/>
      <c r="I173" s="185"/>
      <c r="J173" s="185"/>
      <c r="K173" s="185"/>
      <c r="L173" s="185"/>
      <c r="M173" s="460"/>
      <c r="N173" s="460"/>
      <c r="O173" s="460"/>
    </row>
    <row r="174" spans="1:15">
      <c r="A174" s="460"/>
      <c r="B174" s="185"/>
      <c r="C174" s="185"/>
      <c r="D174" s="185"/>
      <c r="E174" s="185"/>
      <c r="F174" s="185"/>
      <c r="G174" s="185"/>
      <c r="H174" s="185"/>
      <c r="I174" s="185"/>
      <c r="J174" s="185"/>
      <c r="K174" s="185"/>
      <c r="L174" s="185"/>
      <c r="M174" s="460"/>
      <c r="N174" s="460"/>
      <c r="O174" s="460"/>
    </row>
    <row r="175" spans="1:15">
      <c r="A175" s="460"/>
      <c r="B175" s="185"/>
      <c r="C175" s="185"/>
      <c r="D175" s="185"/>
      <c r="E175" s="185"/>
      <c r="F175" s="185"/>
      <c r="G175" s="185"/>
      <c r="H175" s="185"/>
      <c r="I175" s="185"/>
      <c r="J175" s="185"/>
      <c r="K175" s="185"/>
      <c r="L175" s="185"/>
      <c r="M175" s="460"/>
      <c r="N175" s="460"/>
      <c r="O175" s="460"/>
    </row>
    <row r="176" spans="1:15">
      <c r="A176" s="460"/>
      <c r="B176" s="185"/>
      <c r="C176" s="185"/>
      <c r="D176" s="185"/>
      <c r="E176" s="185"/>
      <c r="F176" s="185"/>
      <c r="G176" s="185"/>
      <c r="H176" s="185"/>
      <c r="I176" s="185"/>
      <c r="J176" s="185"/>
      <c r="K176" s="185"/>
      <c r="L176" s="185"/>
      <c r="M176" s="460"/>
      <c r="N176" s="460"/>
      <c r="O176" s="460"/>
    </row>
    <row r="177" spans="1:15">
      <c r="A177" s="460"/>
      <c r="B177" s="185"/>
      <c r="C177" s="185"/>
      <c r="D177" s="185"/>
      <c r="E177" s="185"/>
      <c r="F177" s="185"/>
      <c r="G177" s="185"/>
      <c r="H177" s="185"/>
      <c r="I177" s="185"/>
      <c r="J177" s="185"/>
      <c r="K177" s="185"/>
      <c r="L177" s="185"/>
      <c r="M177" s="460"/>
      <c r="N177" s="460"/>
      <c r="O177" s="460"/>
    </row>
    <row r="178" spans="1:15">
      <c r="A178" s="460"/>
      <c r="B178" s="185"/>
      <c r="C178" s="185"/>
      <c r="D178" s="185"/>
      <c r="E178" s="185"/>
      <c r="F178" s="185"/>
      <c r="G178" s="185"/>
      <c r="H178" s="185"/>
      <c r="I178" s="185"/>
      <c r="J178" s="185"/>
      <c r="K178" s="185"/>
      <c r="L178" s="185"/>
      <c r="M178" s="460"/>
      <c r="N178" s="460"/>
      <c r="O178" s="460"/>
    </row>
    <row r="179" spans="1:15">
      <c r="A179" s="460"/>
      <c r="B179" s="185"/>
      <c r="C179" s="185"/>
      <c r="D179" s="185"/>
      <c r="E179" s="185"/>
      <c r="F179" s="185"/>
      <c r="G179" s="185"/>
      <c r="H179" s="185"/>
      <c r="I179" s="185"/>
      <c r="J179" s="185"/>
      <c r="K179" s="185"/>
      <c r="L179" s="185"/>
      <c r="M179" s="460"/>
      <c r="N179" s="460"/>
      <c r="O179" s="460"/>
    </row>
    <row r="180" spans="1:15">
      <c r="A180" s="460"/>
      <c r="B180" s="185"/>
      <c r="C180" s="185"/>
      <c r="D180" s="185"/>
      <c r="E180" s="185"/>
      <c r="F180" s="185"/>
      <c r="G180" s="185"/>
      <c r="H180" s="185"/>
      <c r="I180" s="185"/>
      <c r="J180" s="185"/>
      <c r="K180" s="185"/>
      <c r="L180" s="185"/>
      <c r="M180" s="460"/>
      <c r="N180" s="460"/>
      <c r="O180" s="460"/>
    </row>
    <row r="181" spans="1:15">
      <c r="A181" s="460"/>
      <c r="B181" s="185"/>
      <c r="C181" s="185"/>
      <c r="D181" s="185"/>
      <c r="E181" s="185"/>
      <c r="F181" s="185"/>
      <c r="G181" s="185"/>
      <c r="H181" s="185"/>
      <c r="I181" s="185"/>
      <c r="J181" s="185"/>
      <c r="K181" s="185"/>
      <c r="L181" s="185"/>
      <c r="M181" s="460"/>
      <c r="N181" s="460"/>
      <c r="O181" s="460"/>
    </row>
    <row r="182" spans="1:15">
      <c r="A182" s="460"/>
      <c r="B182" s="185"/>
      <c r="C182" s="185"/>
      <c r="D182" s="185"/>
      <c r="E182" s="185"/>
      <c r="F182" s="185"/>
      <c r="G182" s="185"/>
      <c r="H182" s="185"/>
      <c r="I182" s="185"/>
      <c r="J182" s="185"/>
      <c r="K182" s="185"/>
      <c r="L182" s="185"/>
      <c r="M182" s="460"/>
      <c r="N182" s="460"/>
      <c r="O182" s="460"/>
    </row>
    <row r="183" spans="1:15">
      <c r="A183" s="460"/>
      <c r="B183" s="185"/>
      <c r="C183" s="185"/>
      <c r="D183" s="185"/>
      <c r="E183" s="185"/>
      <c r="F183" s="185"/>
      <c r="G183" s="185"/>
      <c r="H183" s="185"/>
      <c r="I183" s="185"/>
      <c r="J183" s="185"/>
      <c r="K183" s="185"/>
      <c r="L183" s="185"/>
      <c r="M183" s="460"/>
      <c r="N183" s="460"/>
      <c r="O183" s="460"/>
    </row>
    <row r="184" spans="1:15">
      <c r="A184" s="460"/>
      <c r="B184" s="185"/>
      <c r="C184" s="185"/>
      <c r="D184" s="185"/>
      <c r="E184" s="185"/>
      <c r="F184" s="185"/>
      <c r="G184" s="185"/>
      <c r="H184" s="185"/>
      <c r="I184" s="185"/>
      <c r="J184" s="185"/>
      <c r="K184" s="185"/>
      <c r="L184" s="185"/>
      <c r="M184" s="460"/>
      <c r="N184" s="460"/>
      <c r="O184" s="460"/>
    </row>
    <row r="185" spans="1:15">
      <c r="A185" s="460"/>
      <c r="B185" s="185"/>
      <c r="C185" s="185"/>
      <c r="D185" s="185"/>
      <c r="E185" s="185"/>
      <c r="F185" s="185"/>
      <c r="G185" s="185"/>
      <c r="H185" s="185"/>
      <c r="I185" s="185"/>
      <c r="J185" s="185"/>
      <c r="K185" s="185"/>
      <c r="L185" s="185"/>
      <c r="M185" s="460"/>
      <c r="N185" s="460"/>
      <c r="O185" s="460"/>
    </row>
    <row r="186" spans="1:15">
      <c r="A186" s="460"/>
      <c r="B186" s="185"/>
      <c r="C186" s="185"/>
      <c r="D186" s="185"/>
      <c r="E186" s="185"/>
      <c r="F186" s="185"/>
      <c r="G186" s="185"/>
      <c r="H186" s="185"/>
      <c r="I186" s="185"/>
      <c r="J186" s="185"/>
      <c r="K186" s="185"/>
      <c r="L186" s="185"/>
      <c r="M186" s="460"/>
      <c r="N186" s="460"/>
      <c r="O186" s="460"/>
    </row>
    <row r="187" spans="1:15">
      <c r="A187" s="460"/>
      <c r="B187" s="185"/>
      <c r="C187" s="185"/>
      <c r="D187" s="185"/>
      <c r="E187" s="185"/>
      <c r="F187" s="185"/>
      <c r="G187" s="185"/>
      <c r="H187" s="185"/>
      <c r="I187" s="185"/>
      <c r="J187" s="185"/>
      <c r="K187" s="185"/>
      <c r="L187" s="185"/>
      <c r="M187" s="460"/>
      <c r="N187" s="460"/>
      <c r="O187" s="460"/>
    </row>
    <row r="188" spans="1:15">
      <c r="A188" s="460"/>
      <c r="B188" s="185"/>
      <c r="C188" s="185"/>
      <c r="D188" s="185"/>
      <c r="E188" s="185"/>
      <c r="F188" s="185"/>
      <c r="G188" s="185"/>
      <c r="H188" s="185"/>
      <c r="I188" s="185"/>
      <c r="J188" s="185"/>
      <c r="K188" s="185"/>
      <c r="L188" s="185"/>
      <c r="M188" s="460"/>
      <c r="N188" s="460"/>
      <c r="O188" s="460"/>
    </row>
    <row r="189" spans="1:15">
      <c r="A189" s="460"/>
      <c r="B189" s="185"/>
      <c r="C189" s="185"/>
      <c r="D189" s="185"/>
      <c r="E189" s="185"/>
      <c r="F189" s="185"/>
      <c r="G189" s="185"/>
      <c r="H189" s="185"/>
      <c r="I189" s="185"/>
      <c r="J189" s="185"/>
      <c r="K189" s="185"/>
      <c r="L189" s="185"/>
      <c r="M189" s="460"/>
      <c r="N189" s="460"/>
      <c r="O189" s="460"/>
    </row>
    <row r="190" spans="1:15">
      <c r="A190" s="460"/>
      <c r="B190" s="185"/>
      <c r="C190" s="185"/>
      <c r="D190" s="185"/>
      <c r="E190" s="185"/>
      <c r="F190" s="185"/>
      <c r="G190" s="185"/>
      <c r="H190" s="185"/>
      <c r="I190" s="185"/>
      <c r="J190" s="185"/>
      <c r="K190" s="185"/>
      <c r="L190" s="185"/>
      <c r="M190" s="460"/>
      <c r="N190" s="460"/>
      <c r="O190" s="460"/>
    </row>
    <row r="191" spans="1:15">
      <c r="A191" s="460"/>
      <c r="B191" s="185"/>
      <c r="C191" s="185"/>
      <c r="D191" s="185"/>
      <c r="E191" s="185"/>
      <c r="F191" s="185"/>
      <c r="G191" s="185"/>
      <c r="H191" s="185"/>
      <c r="I191" s="185"/>
      <c r="J191" s="185"/>
      <c r="K191" s="185"/>
      <c r="L191" s="185"/>
      <c r="M191" s="460"/>
      <c r="N191" s="460"/>
      <c r="O191" s="460"/>
    </row>
    <row r="192" spans="1:15">
      <c r="A192" s="460"/>
      <c r="B192" s="185"/>
      <c r="C192" s="185"/>
      <c r="D192" s="185"/>
      <c r="E192" s="185"/>
      <c r="F192" s="185"/>
      <c r="G192" s="185"/>
      <c r="H192" s="185"/>
      <c r="I192" s="185"/>
      <c r="J192" s="185"/>
      <c r="K192" s="185"/>
      <c r="L192" s="185"/>
      <c r="M192" s="460"/>
      <c r="N192" s="460"/>
      <c r="O192" s="460"/>
    </row>
    <row r="193" spans="1:15">
      <c r="A193" s="460"/>
      <c r="B193" s="185"/>
      <c r="C193" s="185"/>
      <c r="D193" s="185"/>
      <c r="E193" s="185"/>
      <c r="F193" s="185"/>
      <c r="G193" s="185"/>
      <c r="H193" s="185"/>
      <c r="I193" s="185"/>
      <c r="J193" s="185"/>
      <c r="K193" s="185"/>
      <c r="L193" s="185"/>
      <c r="M193" s="460"/>
      <c r="N193" s="460"/>
      <c r="O193" s="460"/>
    </row>
    <row r="194" spans="1:15">
      <c r="A194" s="460"/>
      <c r="B194" s="185"/>
      <c r="C194" s="185"/>
      <c r="D194" s="185"/>
      <c r="E194" s="185"/>
      <c r="F194" s="185"/>
      <c r="G194" s="185"/>
      <c r="H194" s="185"/>
      <c r="I194" s="185"/>
      <c r="J194" s="185"/>
      <c r="K194" s="185"/>
      <c r="L194" s="185"/>
      <c r="M194" s="460"/>
      <c r="N194" s="460"/>
      <c r="O194" s="460"/>
    </row>
    <row r="195" spans="1:15">
      <c r="A195" s="460"/>
      <c r="B195" s="185"/>
      <c r="C195" s="185"/>
      <c r="D195" s="185"/>
      <c r="E195" s="185"/>
      <c r="F195" s="185"/>
      <c r="G195" s="185"/>
      <c r="H195" s="185"/>
      <c r="I195" s="185"/>
      <c r="J195" s="185"/>
      <c r="K195" s="185"/>
      <c r="L195" s="185"/>
      <c r="M195" s="460"/>
      <c r="N195" s="460"/>
      <c r="O195" s="460"/>
    </row>
    <row r="196" spans="1:15">
      <c r="A196" s="460"/>
      <c r="B196" s="185"/>
      <c r="C196" s="185"/>
      <c r="D196" s="185"/>
      <c r="E196" s="185"/>
      <c r="F196" s="185"/>
      <c r="G196" s="185"/>
      <c r="H196" s="185"/>
      <c r="I196" s="185"/>
      <c r="J196" s="185"/>
      <c r="K196" s="185"/>
      <c r="L196" s="185"/>
      <c r="M196" s="460"/>
      <c r="N196" s="460"/>
      <c r="O196" s="460"/>
    </row>
    <row r="197" spans="1:15">
      <c r="A197" s="460"/>
      <c r="B197" s="185"/>
      <c r="C197" s="185"/>
      <c r="D197" s="185"/>
      <c r="E197" s="185"/>
      <c r="F197" s="185"/>
      <c r="G197" s="185"/>
      <c r="H197" s="185"/>
      <c r="I197" s="185"/>
      <c r="J197" s="185"/>
      <c r="K197" s="185"/>
      <c r="L197" s="185"/>
      <c r="M197" s="460"/>
      <c r="N197" s="460"/>
      <c r="O197" s="460"/>
    </row>
    <row r="198" spans="1:15">
      <c r="A198" s="460"/>
      <c r="B198" s="185"/>
      <c r="C198" s="185"/>
      <c r="D198" s="185"/>
      <c r="E198" s="185"/>
      <c r="F198" s="185"/>
      <c r="G198" s="185"/>
      <c r="H198" s="185"/>
      <c r="I198" s="185"/>
      <c r="J198" s="185"/>
      <c r="K198" s="185"/>
      <c r="L198" s="185"/>
      <c r="M198" s="460"/>
      <c r="N198" s="460"/>
      <c r="O198" s="460"/>
    </row>
    <row r="199" spans="1:15">
      <c r="A199" s="460"/>
      <c r="B199" s="185"/>
      <c r="C199" s="185"/>
      <c r="D199" s="185"/>
      <c r="E199" s="185"/>
      <c r="F199" s="185"/>
      <c r="G199" s="185"/>
      <c r="H199" s="185"/>
      <c r="I199" s="185"/>
      <c r="J199" s="185"/>
      <c r="K199" s="185"/>
      <c r="L199" s="185"/>
      <c r="M199" s="460"/>
      <c r="N199" s="460"/>
      <c r="O199" s="460"/>
    </row>
    <row r="200" spans="1:15">
      <c r="A200" s="460"/>
      <c r="B200" s="185"/>
      <c r="C200" s="185"/>
      <c r="D200" s="185"/>
      <c r="E200" s="185"/>
      <c r="F200" s="185"/>
      <c r="G200" s="185"/>
      <c r="H200" s="185"/>
      <c r="I200" s="185"/>
      <c r="J200" s="185"/>
      <c r="K200" s="185"/>
      <c r="L200" s="185"/>
      <c r="M200" s="460"/>
      <c r="N200" s="460"/>
      <c r="O200" s="460"/>
    </row>
    <row r="201" spans="1:15">
      <c r="A201" s="460"/>
      <c r="B201" s="185"/>
      <c r="C201" s="185"/>
      <c r="D201" s="185"/>
      <c r="E201" s="185"/>
      <c r="F201" s="185"/>
      <c r="G201" s="185"/>
      <c r="H201" s="185"/>
      <c r="I201" s="185"/>
      <c r="J201" s="185"/>
      <c r="K201" s="185"/>
      <c r="L201" s="185"/>
      <c r="M201" s="460"/>
      <c r="N201" s="460"/>
      <c r="O201" s="460"/>
    </row>
    <row r="202" spans="1:15">
      <c r="A202" s="460"/>
      <c r="B202" s="185"/>
      <c r="C202" s="185"/>
      <c r="D202" s="185"/>
      <c r="E202" s="185"/>
      <c r="F202" s="185"/>
      <c r="G202" s="185"/>
      <c r="H202" s="185"/>
      <c r="I202" s="185"/>
      <c r="J202" s="185"/>
      <c r="K202" s="185"/>
      <c r="L202" s="185"/>
      <c r="M202" s="460"/>
      <c r="N202" s="460"/>
      <c r="O202" s="460"/>
    </row>
    <row r="203" spans="1:15">
      <c r="A203" s="460"/>
      <c r="B203" s="185"/>
      <c r="C203" s="185"/>
      <c r="D203" s="185"/>
      <c r="E203" s="185"/>
      <c r="F203" s="185"/>
      <c r="G203" s="185"/>
      <c r="H203" s="185"/>
      <c r="I203" s="185"/>
      <c r="J203" s="185"/>
      <c r="K203" s="185"/>
      <c r="L203" s="185"/>
      <c r="M203" s="460"/>
      <c r="N203" s="460"/>
      <c r="O203" s="460"/>
    </row>
    <row r="204" spans="1:15">
      <c r="A204" s="460"/>
      <c r="B204" s="185"/>
      <c r="C204" s="185"/>
      <c r="D204" s="185"/>
      <c r="E204" s="185"/>
      <c r="F204" s="185"/>
      <c r="G204" s="185"/>
      <c r="H204" s="185"/>
      <c r="I204" s="185"/>
      <c r="J204" s="185"/>
      <c r="K204" s="185"/>
      <c r="L204" s="185"/>
      <c r="M204" s="460"/>
      <c r="N204" s="460"/>
      <c r="O204" s="460"/>
    </row>
    <row r="205" spans="1:15">
      <c r="A205" s="460"/>
      <c r="B205" s="185"/>
      <c r="C205" s="185"/>
      <c r="D205" s="185"/>
      <c r="E205" s="185"/>
      <c r="F205" s="185"/>
      <c r="G205" s="185"/>
      <c r="H205" s="185"/>
      <c r="I205" s="185"/>
      <c r="J205" s="185"/>
      <c r="K205" s="185"/>
      <c r="L205" s="185"/>
      <c r="M205" s="460"/>
      <c r="N205" s="460"/>
      <c r="O205" s="460"/>
    </row>
    <row r="206" spans="1:15">
      <c r="A206" s="460"/>
      <c r="B206" s="185"/>
      <c r="C206" s="185"/>
      <c r="D206" s="185"/>
      <c r="E206" s="185"/>
      <c r="F206" s="185"/>
      <c r="G206" s="185"/>
      <c r="H206" s="185"/>
      <c r="I206" s="185"/>
      <c r="J206" s="185"/>
      <c r="K206" s="185"/>
      <c r="L206" s="185"/>
      <c r="M206" s="460"/>
      <c r="N206" s="460"/>
      <c r="O206" s="460"/>
    </row>
    <row r="207" spans="1:15">
      <c r="A207" s="460"/>
      <c r="B207" s="185"/>
      <c r="C207" s="185"/>
      <c r="D207" s="185"/>
      <c r="E207" s="185"/>
      <c r="F207" s="185"/>
      <c r="G207" s="185"/>
      <c r="H207" s="185"/>
      <c r="I207" s="185"/>
      <c r="J207" s="185"/>
      <c r="K207" s="185"/>
      <c r="L207" s="185"/>
      <c r="M207" s="460"/>
      <c r="N207" s="460"/>
      <c r="O207" s="460"/>
    </row>
    <row r="208" spans="1:15">
      <c r="A208" s="460"/>
      <c r="B208" s="185"/>
      <c r="C208" s="185"/>
      <c r="D208" s="185"/>
      <c r="E208" s="185"/>
      <c r="F208" s="185"/>
      <c r="G208" s="185"/>
      <c r="H208" s="185"/>
      <c r="I208" s="185"/>
      <c r="J208" s="185"/>
      <c r="K208" s="185"/>
      <c r="L208" s="185"/>
      <c r="M208" s="460"/>
      <c r="N208" s="460"/>
      <c r="O208" s="460"/>
    </row>
    <row r="209" spans="1:15">
      <c r="A209" s="460"/>
      <c r="B209" s="185"/>
      <c r="C209" s="185"/>
      <c r="D209" s="185"/>
      <c r="E209" s="185"/>
      <c r="F209" s="185"/>
      <c r="G209" s="185"/>
      <c r="H209" s="185"/>
      <c r="I209" s="185"/>
      <c r="J209" s="185"/>
      <c r="K209" s="185"/>
      <c r="L209" s="185"/>
      <c r="M209" s="460"/>
      <c r="N209" s="460"/>
      <c r="O209" s="460"/>
    </row>
    <row r="210" spans="1:15">
      <c r="A210" s="460"/>
      <c r="B210" s="185"/>
      <c r="C210" s="185"/>
      <c r="D210" s="185"/>
      <c r="E210" s="185"/>
      <c r="F210" s="185"/>
      <c r="G210" s="185"/>
      <c r="H210" s="185"/>
      <c r="I210" s="185"/>
      <c r="J210" s="185"/>
      <c r="K210" s="185"/>
      <c r="L210" s="185"/>
      <c r="M210" s="460"/>
      <c r="N210" s="460"/>
      <c r="O210" s="460"/>
    </row>
    <row r="211" spans="1:15">
      <c r="A211" s="460"/>
      <c r="B211" s="185"/>
      <c r="C211" s="185"/>
      <c r="D211" s="185"/>
      <c r="E211" s="185"/>
      <c r="F211" s="185"/>
      <c r="G211" s="185"/>
      <c r="H211" s="185"/>
      <c r="I211" s="185"/>
      <c r="J211" s="185"/>
      <c r="K211" s="185"/>
      <c r="L211" s="185"/>
      <c r="M211" s="460"/>
      <c r="N211" s="460"/>
      <c r="O211" s="460"/>
    </row>
    <row r="212" spans="1:15">
      <c r="A212" s="460"/>
      <c r="B212" s="185"/>
      <c r="C212" s="185"/>
      <c r="D212" s="185"/>
      <c r="E212" s="185"/>
      <c r="F212" s="185"/>
      <c r="G212" s="185"/>
      <c r="H212" s="185"/>
      <c r="I212" s="185"/>
      <c r="J212" s="185"/>
      <c r="K212" s="185"/>
      <c r="L212" s="185"/>
      <c r="M212" s="460"/>
      <c r="N212" s="460"/>
      <c r="O212" s="460"/>
    </row>
    <row r="213" spans="1:15">
      <c r="A213" s="460"/>
      <c r="B213" s="185"/>
      <c r="C213" s="185"/>
      <c r="D213" s="185"/>
      <c r="E213" s="185"/>
      <c r="F213" s="185"/>
      <c r="G213" s="185"/>
      <c r="H213" s="185"/>
      <c r="I213" s="185"/>
      <c r="J213" s="185"/>
      <c r="K213" s="185"/>
      <c r="L213" s="185"/>
      <c r="M213" s="460"/>
      <c r="N213" s="460"/>
      <c r="O213" s="460"/>
    </row>
    <row r="214" spans="1:15">
      <c r="A214" s="460"/>
      <c r="B214" s="185"/>
      <c r="C214" s="185"/>
      <c r="D214" s="185"/>
      <c r="E214" s="185"/>
      <c r="F214" s="185"/>
      <c r="G214" s="185"/>
      <c r="H214" s="185"/>
      <c r="I214" s="185"/>
      <c r="J214" s="185"/>
      <c r="K214" s="185"/>
      <c r="L214" s="185"/>
      <c r="M214" s="460"/>
      <c r="N214" s="460"/>
      <c r="O214" s="460"/>
    </row>
    <row r="215" spans="1:15">
      <c r="A215" s="460"/>
      <c r="B215" s="185"/>
      <c r="C215" s="185"/>
      <c r="D215" s="185"/>
      <c r="E215" s="185"/>
      <c r="F215" s="185"/>
      <c r="G215" s="185"/>
      <c r="H215" s="185"/>
      <c r="I215" s="185"/>
      <c r="J215" s="185"/>
      <c r="K215" s="185"/>
      <c r="L215" s="185"/>
      <c r="M215" s="460"/>
      <c r="N215" s="460"/>
      <c r="O215" s="460"/>
    </row>
    <row r="216" spans="1:15">
      <c r="A216" s="460"/>
      <c r="B216" s="185"/>
      <c r="C216" s="185"/>
      <c r="D216" s="185"/>
      <c r="E216" s="185"/>
      <c r="F216" s="185"/>
      <c r="G216" s="185"/>
      <c r="H216" s="185"/>
      <c r="I216" s="185"/>
      <c r="J216" s="185"/>
      <c r="K216" s="185"/>
      <c r="L216" s="185"/>
      <c r="M216" s="460"/>
      <c r="N216" s="460"/>
      <c r="O216" s="460"/>
    </row>
    <row r="217" spans="1:15">
      <c r="A217" s="460"/>
      <c r="B217" s="185"/>
      <c r="C217" s="185"/>
      <c r="D217" s="185"/>
      <c r="E217" s="185"/>
      <c r="F217" s="185"/>
      <c r="G217" s="185"/>
      <c r="H217" s="185"/>
      <c r="I217" s="185"/>
      <c r="J217" s="185"/>
      <c r="K217" s="185"/>
      <c r="L217" s="185"/>
      <c r="M217" s="460"/>
      <c r="N217" s="460"/>
      <c r="O217" s="460"/>
    </row>
    <row r="218" spans="1:15">
      <c r="A218" s="460"/>
      <c r="B218" s="185"/>
      <c r="C218" s="185"/>
      <c r="D218" s="185"/>
      <c r="E218" s="185"/>
      <c r="F218" s="185"/>
      <c r="G218" s="185"/>
      <c r="H218" s="185"/>
      <c r="I218" s="185"/>
      <c r="J218" s="185"/>
      <c r="K218" s="185"/>
      <c r="L218" s="185"/>
      <c r="M218" s="460"/>
      <c r="N218" s="460"/>
      <c r="O218" s="460"/>
    </row>
    <row r="219" spans="1:15">
      <c r="A219" s="460"/>
      <c r="B219" s="185"/>
      <c r="C219" s="185"/>
      <c r="D219" s="185"/>
      <c r="E219" s="185"/>
      <c r="F219" s="185"/>
      <c r="G219" s="185"/>
      <c r="H219" s="185"/>
      <c r="I219" s="185"/>
      <c r="J219" s="185"/>
      <c r="K219" s="185"/>
      <c r="L219" s="185"/>
      <c r="M219" s="460"/>
      <c r="N219" s="460"/>
      <c r="O219" s="460"/>
    </row>
    <row r="220" spans="1:15">
      <c r="A220" s="460"/>
      <c r="B220" s="185"/>
      <c r="C220" s="185"/>
      <c r="D220" s="185"/>
      <c r="E220" s="185"/>
      <c r="F220" s="185"/>
      <c r="G220" s="185"/>
      <c r="H220" s="185"/>
      <c r="I220" s="185"/>
      <c r="J220" s="185"/>
      <c r="K220" s="185"/>
      <c r="L220" s="185"/>
      <c r="M220" s="460"/>
      <c r="N220" s="460"/>
      <c r="O220" s="460"/>
    </row>
    <row r="221" spans="1:15">
      <c r="A221" s="460"/>
      <c r="B221" s="185"/>
      <c r="C221" s="185"/>
      <c r="D221" s="185"/>
      <c r="E221" s="185"/>
      <c r="F221" s="185"/>
      <c r="G221" s="185"/>
      <c r="H221" s="185"/>
      <c r="I221" s="185"/>
      <c r="J221" s="185"/>
      <c r="K221" s="185"/>
      <c r="L221" s="185"/>
      <c r="M221" s="460"/>
      <c r="N221" s="460"/>
      <c r="O221" s="460"/>
    </row>
    <row r="222" spans="1:15">
      <c r="A222" s="460"/>
      <c r="B222" s="185"/>
      <c r="C222" s="185"/>
      <c r="D222" s="185"/>
      <c r="E222" s="185"/>
      <c r="F222" s="185"/>
      <c r="G222" s="185"/>
      <c r="H222" s="185"/>
      <c r="I222" s="185"/>
      <c r="J222" s="185"/>
      <c r="K222" s="185"/>
      <c r="L222" s="185"/>
      <c r="M222" s="460"/>
      <c r="N222" s="460"/>
      <c r="O222" s="460"/>
    </row>
    <row r="223" spans="1:15">
      <c r="A223" s="460"/>
      <c r="B223" s="185"/>
      <c r="C223" s="185"/>
      <c r="D223" s="185"/>
      <c r="E223" s="185"/>
      <c r="F223" s="185"/>
      <c r="G223" s="185"/>
      <c r="H223" s="185"/>
      <c r="I223" s="185"/>
      <c r="J223" s="185"/>
      <c r="K223" s="185"/>
      <c r="L223" s="185"/>
      <c r="M223" s="460"/>
      <c r="N223" s="460"/>
      <c r="O223" s="460"/>
    </row>
    <row r="224" spans="1:15">
      <c r="A224" s="460"/>
      <c r="B224" s="185"/>
      <c r="C224" s="185"/>
      <c r="D224" s="185"/>
      <c r="E224" s="185"/>
      <c r="F224" s="185"/>
      <c r="G224" s="185"/>
      <c r="H224" s="185"/>
      <c r="I224" s="185"/>
      <c r="J224" s="185"/>
      <c r="K224" s="185"/>
      <c r="L224" s="185"/>
      <c r="M224" s="460"/>
      <c r="N224" s="460"/>
      <c r="O224" s="460"/>
    </row>
    <row r="225" spans="1:15">
      <c r="A225" s="460"/>
      <c r="B225" s="185"/>
      <c r="C225" s="185"/>
      <c r="D225" s="185"/>
      <c r="E225" s="185"/>
      <c r="F225" s="185"/>
      <c r="G225" s="185"/>
      <c r="H225" s="185"/>
      <c r="I225" s="185"/>
      <c r="J225" s="185"/>
      <c r="K225" s="185"/>
      <c r="L225" s="185"/>
      <c r="M225" s="460"/>
      <c r="N225" s="460"/>
      <c r="O225" s="460"/>
    </row>
    <row r="226" spans="1:15">
      <c r="A226" s="460"/>
      <c r="B226" s="185"/>
      <c r="C226" s="185"/>
      <c r="D226" s="185"/>
      <c r="E226" s="185"/>
      <c r="F226" s="185"/>
      <c r="G226" s="185"/>
      <c r="H226" s="185"/>
      <c r="I226" s="185"/>
      <c r="J226" s="185"/>
      <c r="K226" s="185"/>
      <c r="L226" s="185"/>
      <c r="M226" s="460"/>
      <c r="N226" s="460"/>
      <c r="O226" s="460"/>
    </row>
    <row r="227" spans="1:15">
      <c r="A227" s="460"/>
      <c r="B227" s="185"/>
      <c r="C227" s="185"/>
      <c r="D227" s="185"/>
      <c r="E227" s="185"/>
      <c r="F227" s="185"/>
      <c r="G227" s="185"/>
      <c r="H227" s="185"/>
      <c r="I227" s="185"/>
      <c r="J227" s="185"/>
      <c r="K227" s="185"/>
      <c r="L227" s="185"/>
      <c r="M227" s="460"/>
      <c r="N227" s="460"/>
      <c r="O227" s="460"/>
    </row>
    <row r="228" spans="1:15">
      <c r="A228" s="460"/>
      <c r="B228" s="185"/>
      <c r="C228" s="185"/>
      <c r="D228" s="185"/>
      <c r="E228" s="185"/>
      <c r="F228" s="185"/>
      <c r="G228" s="185"/>
      <c r="H228" s="185"/>
      <c r="I228" s="185"/>
      <c r="J228" s="185"/>
      <c r="K228" s="185"/>
      <c r="L228" s="185"/>
      <c r="M228" s="460"/>
      <c r="N228" s="460"/>
      <c r="O228" s="460"/>
    </row>
  </sheetData>
  <mergeCells count="12">
    <mergeCell ref="F19:G19"/>
    <mergeCell ref="C3:K3"/>
    <mergeCell ref="F8:G8"/>
    <mergeCell ref="F9:G9"/>
    <mergeCell ref="F10:G10"/>
    <mergeCell ref="F11:G11"/>
    <mergeCell ref="F12:G12"/>
    <mergeCell ref="F14:G14"/>
    <mergeCell ref="F15:G15"/>
    <mergeCell ref="F16:G16"/>
    <mergeCell ref="F17:G17"/>
    <mergeCell ref="F18:G18"/>
  </mergeCells>
  <conditionalFormatting sqref="I28 I35:I36">
    <cfRule type="expression" dxfId="15" priority="2" stopIfTrue="1">
      <formula>$F$8="(Estimated)"</formula>
    </cfRule>
  </conditionalFormatting>
  <conditionalFormatting sqref="J12 J10">
    <cfRule type="expression" dxfId="14" priority="1" stopIfTrue="1">
      <formula>$F$8="(Estimated)"</formula>
    </cfRule>
  </conditionalFormatting>
  <dataValidations count="2">
    <dataValidation allowBlank="1" showInputMessage="1" showErrorMessage="1" prompt="The retirement amount entered in this cell should represent retirements for plant being replaced by major additions.  If also shown in cell I16 as retirements from Attach 11, amend the formula in I16 on this sheet by placing -H16 in the formula string. " sqref="I17:J17"/>
    <dataValidation allowBlank="1" showInputMessage="1" showErrorMessage="1" prompt="You must manually input historical balances in this Attachment (January 1 for Accumulated Depreciation and CIAC; December 31 for Materials and Supplies).  " sqref="K8"/>
  </dataValidations>
  <printOptions horizontalCentered="1"/>
  <pageMargins left="0.25" right="0.25" top="0.5" bottom="0.5" header="0" footer="0"/>
  <pageSetup scale="65" orientation="portrait" blackAndWhite="1" r:id="rId1"/>
  <headerFooter alignWithMargins="0"/>
  <legacyDrawing r:id="rId2"/>
</worksheet>
</file>

<file path=xl/worksheets/sheet27.xml><?xml version="1.0" encoding="utf-8"?>
<worksheet xmlns="http://schemas.openxmlformats.org/spreadsheetml/2006/main" xmlns:r="http://schemas.openxmlformats.org/officeDocument/2006/relationships">
  <sheetPr codeName="Sheet15">
    <pageSetUpPr fitToPage="1"/>
  </sheetPr>
  <dimension ref="A1:L193"/>
  <sheetViews>
    <sheetView showGridLines="0" zoomScaleNormal="100" workbookViewId="0">
      <selection activeCell="G53" sqref="G53"/>
    </sheetView>
  </sheetViews>
  <sheetFormatPr defaultColWidth="8.85546875" defaultRowHeight="12.75"/>
  <cols>
    <col min="1" max="1" width="8.85546875" style="91"/>
    <col min="2" max="2" width="13.28515625" style="91" customWidth="1"/>
    <col min="3" max="3" width="10.28515625" style="91" customWidth="1"/>
    <col min="4" max="4" width="29.140625" style="91" customWidth="1"/>
    <col min="5" max="5" width="10.28515625" style="91" customWidth="1"/>
    <col min="6" max="6" width="19.28515625" style="91" customWidth="1"/>
    <col min="7" max="7" width="20.28515625" style="91" customWidth="1"/>
    <col min="8" max="8" width="18.28515625" style="91" customWidth="1"/>
    <col min="9" max="9" width="5.7109375" style="91" customWidth="1"/>
    <col min="10" max="10" width="10.28515625" style="91" customWidth="1"/>
    <col min="11" max="11" width="8.85546875" style="91"/>
    <col min="12" max="12" width="8.85546875" style="134"/>
    <col min="13" max="16384" width="8.85546875" style="91"/>
  </cols>
  <sheetData>
    <row r="1" spans="1:11">
      <c r="A1" s="185"/>
      <c r="B1" s="714" t="str">
        <f>TestYear &amp; " Test Year"</f>
        <v>2015 Test Year</v>
      </c>
      <c r="C1" s="671"/>
      <c r="D1" s="671"/>
      <c r="E1" s="671"/>
      <c r="F1" s="671"/>
      <c r="G1" s="671"/>
      <c r="H1" s="671"/>
      <c r="I1" s="666" t="s">
        <v>703</v>
      </c>
      <c r="J1" s="185"/>
      <c r="K1" s="185"/>
    </row>
    <row r="2" spans="1:11">
      <c r="A2" s="185"/>
      <c r="B2" s="671"/>
      <c r="C2" s="671"/>
      <c r="D2" s="671"/>
      <c r="E2" s="671"/>
      <c r="F2" s="671"/>
      <c r="G2" s="671"/>
      <c r="H2" s="671"/>
      <c r="I2" s="186"/>
      <c r="J2" s="185"/>
      <c r="K2" s="185"/>
    </row>
    <row r="3" spans="1:11">
      <c r="A3" s="185"/>
      <c r="B3" s="822"/>
      <c r="C3" s="2052" t="str">
        <f>Utility</f>
        <v>MADISON WATER UTILITY</v>
      </c>
      <c r="D3" s="1967"/>
      <c r="E3" s="1967"/>
      <c r="F3" s="1967"/>
      <c r="G3" s="1967"/>
      <c r="H3" s="1967"/>
      <c r="I3" s="185"/>
      <c r="J3" s="185"/>
      <c r="K3" s="185"/>
    </row>
    <row r="4" spans="1:11">
      <c r="A4" s="185"/>
      <c r="B4" s="1002"/>
      <c r="C4" s="671"/>
      <c r="D4" s="822"/>
      <c r="E4" s="822"/>
      <c r="F4" s="822"/>
      <c r="G4" s="822"/>
      <c r="H4" s="822"/>
      <c r="I4" s="661"/>
      <c r="J4" s="185"/>
      <c r="K4" s="185"/>
    </row>
    <row r="5" spans="1:11" ht="13.5" thickBot="1">
      <c r="A5" s="185"/>
      <c r="B5" s="1040"/>
      <c r="C5" s="1942" t="str">
        <f>CONCATENATE("Estimated for Test Year ",TestYear)</f>
        <v>Estimated for Test Year 2015</v>
      </c>
      <c r="D5" s="1944"/>
      <c r="E5" s="1944"/>
      <c r="F5" s="1944"/>
      <c r="G5" s="1944"/>
      <c r="H5" s="1944"/>
      <c r="I5" s="661"/>
      <c r="J5" s="185"/>
      <c r="K5" s="185"/>
    </row>
    <row r="6" spans="1:11" ht="13.5" thickTop="1">
      <c r="A6" s="185"/>
      <c r="B6" s="1041"/>
      <c r="C6" s="366"/>
      <c r="D6" s="1042"/>
      <c r="E6" s="1043"/>
      <c r="F6" s="1042"/>
      <c r="G6" s="1042"/>
      <c r="H6" s="1042"/>
      <c r="I6" s="368"/>
      <c r="J6" s="185"/>
      <c r="K6" s="185"/>
    </row>
    <row r="7" spans="1:11" ht="15">
      <c r="A7" s="185"/>
      <c r="B7" s="1050"/>
      <c r="C7" s="1051"/>
      <c r="D7" s="750"/>
      <c r="E7" s="750"/>
      <c r="F7" s="750"/>
      <c r="G7" s="742"/>
      <c r="H7" s="750"/>
      <c r="I7" s="1044"/>
      <c r="J7" s="185"/>
      <c r="K7" s="185"/>
    </row>
    <row r="8" spans="1:11" ht="15">
      <c r="A8" s="185"/>
      <c r="B8" s="1052" t="s">
        <v>334</v>
      </c>
      <c r="C8" s="682" t="s">
        <v>422</v>
      </c>
      <c r="D8" s="682"/>
      <c r="E8" s="682"/>
      <c r="F8" s="682"/>
      <c r="G8" s="1053" t="s">
        <v>704</v>
      </c>
      <c r="H8" s="748">
        <f>Attach7!H50</f>
        <v>29071550.317054715</v>
      </c>
      <c r="I8" s="370"/>
      <c r="J8" s="185"/>
      <c r="K8" s="185"/>
    </row>
    <row r="9" spans="1:11" ht="14.25">
      <c r="A9" s="185"/>
      <c r="B9" s="1050"/>
      <c r="C9" s="682"/>
      <c r="D9" s="682"/>
      <c r="E9" s="682"/>
      <c r="F9" s="682"/>
      <c r="G9" s="1053"/>
      <c r="H9" s="682"/>
      <c r="I9" s="370"/>
      <c r="J9" s="185"/>
      <c r="K9" s="185"/>
    </row>
    <row r="10" spans="1:11" ht="14.25">
      <c r="A10" s="185"/>
      <c r="B10" s="1050"/>
      <c r="C10" s="682" t="s">
        <v>705</v>
      </c>
      <c r="D10" s="682"/>
      <c r="E10" s="682"/>
      <c r="F10" s="682"/>
      <c r="G10" s="1053" t="s">
        <v>706</v>
      </c>
      <c r="H10" s="679">
        <f>IF(Class="AB",Attach10_AB!H107,IF(Class="C", Attach10_C!H83, Attach10_D!H33))</f>
        <v>15107622</v>
      </c>
      <c r="I10" s="1045"/>
      <c r="J10" s="1038"/>
      <c r="K10" s="185"/>
    </row>
    <row r="11" spans="1:11" ht="14.25">
      <c r="A11" s="185"/>
      <c r="B11" s="1050"/>
      <c r="C11" s="682" t="s">
        <v>707</v>
      </c>
      <c r="D11" s="682"/>
      <c r="E11" s="682"/>
      <c r="F11" s="682"/>
      <c r="G11" s="1053" t="s">
        <v>678</v>
      </c>
      <c r="H11" s="1054">
        <f>Attach12!O96</f>
        <v>4833934</v>
      </c>
      <c r="I11" s="370"/>
      <c r="J11" s="185"/>
      <c r="K11" s="185"/>
    </row>
    <row r="12" spans="1:11" ht="14.25">
      <c r="A12" s="185"/>
      <c r="B12" s="1050"/>
      <c r="C12" s="682" t="s">
        <v>985</v>
      </c>
      <c r="D12" s="682"/>
      <c r="E12" s="682"/>
      <c r="F12" s="682"/>
      <c r="G12" s="1053"/>
      <c r="H12" s="1486">
        <v>471939</v>
      </c>
      <c r="I12" s="370"/>
      <c r="J12" s="185"/>
      <c r="K12" s="185"/>
    </row>
    <row r="13" spans="1:11" ht="14.25">
      <c r="A13" s="185"/>
      <c r="B13" s="1050"/>
      <c r="C13" s="682"/>
      <c r="D13" s="682"/>
      <c r="E13" s="682"/>
      <c r="F13" s="682"/>
      <c r="G13" s="1053"/>
      <c r="H13" s="1487"/>
      <c r="I13" s="370"/>
      <c r="J13" s="185"/>
      <c r="K13" s="185"/>
    </row>
    <row r="14" spans="1:11" ht="14.25">
      <c r="A14" s="185"/>
      <c r="B14" s="1050"/>
      <c r="C14" s="682" t="s">
        <v>708</v>
      </c>
      <c r="D14" s="682"/>
      <c r="E14" s="682"/>
      <c r="F14" s="682"/>
      <c r="G14" s="1053" t="s">
        <v>709</v>
      </c>
      <c r="H14" s="1055">
        <f>Attach8!I34</f>
        <v>6563690</v>
      </c>
      <c r="I14" s="1045"/>
      <c r="J14" s="722"/>
      <c r="K14" s="185"/>
    </row>
    <row r="15" spans="1:11" ht="14.25">
      <c r="A15" s="185"/>
      <c r="B15" s="1050"/>
      <c r="C15" s="682" t="s">
        <v>710</v>
      </c>
      <c r="D15" s="682"/>
      <c r="E15" s="682"/>
      <c r="F15" s="682"/>
      <c r="G15" s="1053"/>
      <c r="H15" s="748">
        <f>SUM(H10:H14)</f>
        <v>26977185</v>
      </c>
      <c r="I15" s="1045"/>
      <c r="J15" s="722"/>
      <c r="K15" s="185"/>
    </row>
    <row r="16" spans="1:11" ht="14.25">
      <c r="A16" s="185"/>
      <c r="B16" s="1050"/>
      <c r="C16" s="682"/>
      <c r="D16" s="682"/>
      <c r="E16" s="682"/>
      <c r="F16" s="682"/>
      <c r="G16" s="1053"/>
      <c r="H16" s="687" t="s">
        <v>711</v>
      </c>
      <c r="I16" s="1046"/>
      <c r="J16" s="311"/>
      <c r="K16" s="185"/>
    </row>
    <row r="17" spans="1:11" ht="15.75" thickBot="1">
      <c r="A17" s="185"/>
      <c r="B17" s="1050"/>
      <c r="C17" s="1066" t="str">
        <f>CONCATENATE("Net Operating Income (Loss)-Test Year ",TestYear)</f>
        <v>Net Operating Income (Loss)-Test Year 2015</v>
      </c>
      <c r="D17" s="698"/>
      <c r="E17" s="682"/>
      <c r="F17" s="682"/>
      <c r="G17" s="1053"/>
      <c r="H17" s="1056">
        <f>H8-H15</f>
        <v>2094365.317054715</v>
      </c>
      <c r="I17" s="1045"/>
      <c r="J17" s="722"/>
      <c r="K17" s="185"/>
    </row>
    <row r="18" spans="1:11" ht="15" thickTop="1">
      <c r="A18" s="185"/>
      <c r="B18" s="1057"/>
      <c r="C18" s="1068"/>
      <c r="D18" s="1068"/>
      <c r="E18" s="1058"/>
      <c r="F18" s="1058"/>
      <c r="G18" s="1059"/>
      <c r="H18" s="925" t="s">
        <v>711</v>
      </c>
      <c r="I18" s="370"/>
      <c r="J18" s="303"/>
      <c r="K18" s="185"/>
    </row>
    <row r="19" spans="1:11" ht="15">
      <c r="A19" s="185"/>
      <c r="B19" s="1050"/>
      <c r="C19" s="1069"/>
      <c r="D19" s="1070"/>
      <c r="E19" s="740"/>
      <c r="F19" s="740"/>
      <c r="G19" s="1053"/>
      <c r="H19" s="740"/>
      <c r="I19" s="1047"/>
      <c r="J19" s="185"/>
      <c r="K19" s="185"/>
    </row>
    <row r="20" spans="1:11" ht="14.25">
      <c r="A20" s="185"/>
      <c r="B20" s="1050"/>
      <c r="C20" s="698"/>
      <c r="D20" s="698"/>
      <c r="E20" s="682"/>
      <c r="F20" s="682"/>
      <c r="G20" s="682"/>
      <c r="H20" s="682"/>
      <c r="I20" s="370"/>
      <c r="J20" s="185"/>
      <c r="K20" s="185"/>
    </row>
    <row r="21" spans="1:11" ht="15">
      <c r="A21" s="185"/>
      <c r="B21" s="1052" t="s">
        <v>344</v>
      </c>
      <c r="C21" s="698" t="s">
        <v>712</v>
      </c>
      <c r="D21" s="698"/>
      <c r="E21" s="682"/>
      <c r="F21" s="682"/>
      <c r="G21" s="1053"/>
      <c r="H21" s="682"/>
      <c r="I21" s="1045"/>
      <c r="J21" s="722"/>
      <c r="K21" s="185"/>
    </row>
    <row r="22" spans="1:11" ht="14.25">
      <c r="A22" s="185"/>
      <c r="B22" s="1050"/>
      <c r="C22" s="698"/>
      <c r="D22" s="698" t="s">
        <v>684</v>
      </c>
      <c r="E22" s="682"/>
      <c r="F22" s="682"/>
      <c r="G22" s="1053" t="s">
        <v>713</v>
      </c>
      <c r="H22" s="679">
        <f>TestYearTotalPlant</f>
        <v>213688352</v>
      </c>
      <c r="I22" s="1045"/>
      <c r="J22" s="722"/>
      <c r="K22" s="185"/>
    </row>
    <row r="23" spans="1:11" ht="14.25">
      <c r="A23" s="185"/>
      <c r="B23" s="1050"/>
      <c r="C23" s="698"/>
      <c r="D23" s="698"/>
      <c r="E23" s="742"/>
      <c r="F23" s="682"/>
      <c r="G23" s="1060"/>
      <c r="H23" s="741"/>
      <c r="I23" s="370"/>
      <c r="J23" s="303"/>
      <c r="K23" s="185"/>
    </row>
    <row r="24" spans="1:11" ht="14.25">
      <c r="A24" s="185"/>
      <c r="B24" s="1050"/>
      <c r="C24" s="698" t="s">
        <v>714</v>
      </c>
      <c r="D24" s="698"/>
      <c r="E24" s="682"/>
      <c r="F24" s="682"/>
      <c r="G24" s="1053"/>
      <c r="H24" s="682"/>
      <c r="I24" s="370"/>
      <c r="J24" s="185"/>
      <c r="K24" s="185"/>
    </row>
    <row r="25" spans="1:11" ht="14.25">
      <c r="A25" s="185"/>
      <c r="B25" s="1050"/>
      <c r="C25" s="698"/>
      <c r="D25" s="1071" t="s">
        <v>684</v>
      </c>
      <c r="E25" s="682"/>
      <c r="F25" s="740"/>
      <c r="G25" s="1053" t="s">
        <v>715</v>
      </c>
      <c r="H25" s="683">
        <f>TestYearMatSup</f>
        <v>700000</v>
      </c>
      <c r="I25" s="370"/>
      <c r="J25" s="185"/>
      <c r="K25" s="185"/>
    </row>
    <row r="26" spans="1:11" ht="14.25">
      <c r="A26" s="185"/>
      <c r="B26" s="1050"/>
      <c r="C26" s="698"/>
      <c r="D26" s="1071"/>
      <c r="E26" s="742"/>
      <c r="F26" s="740"/>
      <c r="G26" s="1061"/>
      <c r="H26" s="687"/>
      <c r="I26" s="370"/>
      <c r="J26" s="185"/>
      <c r="K26" s="185"/>
    </row>
    <row r="27" spans="1:11" ht="14.25">
      <c r="A27" s="185"/>
      <c r="B27" s="1050"/>
      <c r="C27" s="698" t="s">
        <v>716</v>
      </c>
      <c r="D27" s="698"/>
      <c r="E27" s="682"/>
      <c r="F27" s="682"/>
      <c r="G27" s="1053"/>
      <c r="H27" s="687"/>
      <c r="I27" s="370"/>
      <c r="J27" s="185"/>
      <c r="K27" s="185"/>
    </row>
    <row r="28" spans="1:11" ht="14.25">
      <c r="A28" s="185"/>
      <c r="B28" s="1050"/>
      <c r="C28" s="698"/>
      <c r="D28" s="1071" t="str">
        <f>D25</f>
        <v>Test Year Average Balance</v>
      </c>
      <c r="E28" s="682"/>
      <c r="F28" s="740"/>
      <c r="G28" s="1053" t="s">
        <v>715</v>
      </c>
      <c r="H28" s="683">
        <f>TestYearTotDep</f>
        <v>47883789</v>
      </c>
      <c r="I28" s="370"/>
      <c r="J28" s="185"/>
      <c r="K28" s="185"/>
    </row>
    <row r="29" spans="1:11" ht="14.25">
      <c r="A29" s="185"/>
      <c r="B29" s="1050"/>
      <c r="C29" s="698"/>
      <c r="D29" s="1071"/>
      <c r="E29" s="742"/>
      <c r="F29" s="740"/>
      <c r="G29" s="1061"/>
      <c r="H29" s="687"/>
      <c r="I29" s="370"/>
      <c r="J29" s="185"/>
      <c r="K29" s="185"/>
    </row>
    <row r="30" spans="1:11" ht="14.25">
      <c r="A30" s="185"/>
      <c r="B30" s="1050"/>
      <c r="C30" s="698" t="s">
        <v>717</v>
      </c>
      <c r="D30" s="698"/>
      <c r="E30" s="682"/>
      <c r="F30" s="682"/>
      <c r="G30" s="682"/>
      <c r="H30" s="682"/>
      <c r="I30" s="370"/>
      <c r="J30" s="185"/>
      <c r="K30" s="185"/>
    </row>
    <row r="31" spans="1:11" ht="14.25">
      <c r="A31" s="185"/>
      <c r="B31" s="1050"/>
      <c r="C31" s="698"/>
      <c r="D31" s="1071" t="str">
        <f>D28</f>
        <v>Test Year Average Balance</v>
      </c>
      <c r="E31" s="682"/>
      <c r="F31" s="682"/>
      <c r="G31" s="1053" t="s">
        <v>715</v>
      </c>
      <c r="H31" s="684">
        <f>TestYearTotRegLiability</f>
        <v>3906897</v>
      </c>
      <c r="I31" s="370"/>
      <c r="J31" s="185"/>
      <c r="K31" s="185"/>
    </row>
    <row r="32" spans="1:11" ht="14.25">
      <c r="A32" s="185"/>
      <c r="B32" s="1050"/>
      <c r="C32" s="698"/>
      <c r="D32" s="1071"/>
      <c r="E32" s="682"/>
      <c r="F32" s="742"/>
      <c r="G32" s="1053"/>
      <c r="H32" s="687"/>
      <c r="I32" s="370"/>
      <c r="J32" s="185"/>
      <c r="K32" s="185"/>
    </row>
    <row r="33" spans="1:11" ht="15.75" thickBot="1">
      <c r="A33" s="185"/>
      <c r="B33" s="1050"/>
      <c r="C33" s="1066" t="s">
        <v>718</v>
      </c>
      <c r="D33" s="698"/>
      <c r="E33" s="682"/>
      <c r="F33" s="682"/>
      <c r="G33" s="682"/>
      <c r="H33" s="1062">
        <f>ROUND(H22+H25-H28-H31,0)</f>
        <v>162597666</v>
      </c>
      <c r="I33" s="370"/>
      <c r="J33" s="185"/>
      <c r="K33" s="185"/>
    </row>
    <row r="34" spans="1:11" ht="15" thickTop="1">
      <c r="A34" s="185"/>
      <c r="B34" s="1057"/>
      <c r="C34" s="1068"/>
      <c r="D34" s="1068"/>
      <c r="E34" s="1058"/>
      <c r="F34" s="1058"/>
      <c r="G34" s="1058"/>
      <c r="H34" s="925" t="s">
        <v>711</v>
      </c>
      <c r="I34" s="370"/>
      <c r="J34" s="185"/>
      <c r="K34" s="185"/>
    </row>
    <row r="35" spans="1:11" ht="15">
      <c r="A35" s="185"/>
      <c r="B35" s="1050"/>
      <c r="C35" s="1069"/>
      <c r="D35" s="1070"/>
      <c r="E35" s="740"/>
      <c r="F35" s="740"/>
      <c r="G35" s="740"/>
      <c r="H35" s="740"/>
      <c r="I35" s="1047"/>
      <c r="J35" s="185"/>
      <c r="K35" s="185"/>
    </row>
    <row r="36" spans="1:11" ht="15">
      <c r="A36" s="185"/>
      <c r="B36" s="1052" t="s">
        <v>719</v>
      </c>
      <c r="C36" s="698" t="s">
        <v>720</v>
      </c>
      <c r="D36" s="698"/>
      <c r="E36" s="682"/>
      <c r="F36" s="682"/>
      <c r="G36" s="742" t="s">
        <v>721</v>
      </c>
      <c r="H36" s="679">
        <f>H33</f>
        <v>162597666</v>
      </c>
      <c r="I36" s="370"/>
      <c r="J36" s="185"/>
      <c r="K36" s="185"/>
    </row>
    <row r="37" spans="1:11" ht="15">
      <c r="A37" s="185"/>
      <c r="B37" s="1050"/>
      <c r="C37" s="1066" t="s">
        <v>986</v>
      </c>
      <c r="D37" s="698"/>
      <c r="E37" s="682"/>
      <c r="F37" s="682"/>
      <c r="G37" s="682"/>
      <c r="H37" s="682"/>
      <c r="I37" s="1048"/>
      <c r="J37" s="185"/>
      <c r="K37" s="185"/>
    </row>
    <row r="38" spans="1:11" ht="14.25">
      <c r="A38" s="185"/>
      <c r="B38" s="1050"/>
      <c r="C38" s="698"/>
      <c r="D38" s="698" t="s">
        <v>722</v>
      </c>
      <c r="E38" s="682"/>
      <c r="F38" s="682"/>
      <c r="G38" s="1063">
        <v>6.5000000000000002E-2</v>
      </c>
      <c r="H38" s="1067">
        <f>G38</f>
        <v>6.5000000000000002E-2</v>
      </c>
      <c r="I38" s="1048"/>
      <c r="J38" s="185"/>
      <c r="K38" s="185"/>
    </row>
    <row r="39" spans="1:11" ht="14.25">
      <c r="A39" s="185"/>
      <c r="B39" s="1050"/>
      <c r="C39" s="698"/>
      <c r="D39" s="698"/>
      <c r="E39" s="682"/>
      <c r="F39" s="682"/>
      <c r="G39" s="682"/>
      <c r="H39" s="1065"/>
      <c r="I39" s="1048"/>
      <c r="J39" s="185"/>
      <c r="K39" s="185"/>
    </row>
    <row r="40" spans="1:11" ht="15" thickBot="1">
      <c r="A40" s="185"/>
      <c r="B40" s="1050"/>
      <c r="C40" s="698" t="s">
        <v>723</v>
      </c>
      <c r="D40" s="698"/>
      <c r="E40" s="682"/>
      <c r="F40" s="682"/>
      <c r="G40" s="740"/>
      <c r="H40" s="1056">
        <f>ROUND(H36*H38,0)</f>
        <v>10568848</v>
      </c>
      <c r="I40" s="1044"/>
      <c r="J40" s="185"/>
      <c r="K40" s="185"/>
    </row>
    <row r="41" spans="1:11" ht="15" thickTop="1">
      <c r="A41" s="185"/>
      <c r="B41" s="1050"/>
      <c r="C41" s="698"/>
      <c r="D41" s="698"/>
      <c r="E41" s="682"/>
      <c r="F41" s="682"/>
      <c r="G41" s="740"/>
      <c r="H41" s="741"/>
      <c r="I41" s="370"/>
      <c r="J41" s="185"/>
      <c r="K41" s="185"/>
    </row>
    <row r="42" spans="1:11" ht="14.25">
      <c r="A42" s="185"/>
      <c r="B42" s="1050"/>
      <c r="C42" s="698" t="s">
        <v>705</v>
      </c>
      <c r="D42" s="698"/>
      <c r="E42" s="682"/>
      <c r="F42" s="682"/>
      <c r="G42" s="742" t="s">
        <v>724</v>
      </c>
      <c r="H42" s="679">
        <f>H10</f>
        <v>15107622</v>
      </c>
      <c r="I42" s="1045"/>
      <c r="J42" s="1038"/>
      <c r="K42" s="185"/>
    </row>
    <row r="43" spans="1:11" ht="15">
      <c r="A43" s="185"/>
      <c r="B43" s="1050"/>
      <c r="C43" s="708" t="s">
        <v>987</v>
      </c>
      <c r="D43" s="682"/>
      <c r="E43" s="682"/>
      <c r="F43" s="682"/>
      <c r="G43" s="740"/>
      <c r="H43" s="1064">
        <v>0.06</v>
      </c>
      <c r="I43" s="1048"/>
      <c r="J43" s="185"/>
      <c r="K43" s="185"/>
    </row>
    <row r="44" spans="1:11" ht="15" thickBot="1">
      <c r="A44" s="185"/>
      <c r="B44" s="1050"/>
      <c r="C44" s="682" t="s">
        <v>725</v>
      </c>
      <c r="D44" s="682"/>
      <c r="E44" s="682"/>
      <c r="F44" s="682"/>
      <c r="G44" s="682"/>
      <c r="H44" s="1056">
        <f>ROUND(H42*H43,0)</f>
        <v>906457</v>
      </c>
      <c r="I44" s="1044"/>
      <c r="J44" s="185"/>
      <c r="K44" s="185"/>
    </row>
    <row r="45" spans="1:11" ht="15" thickTop="1">
      <c r="A45" s="185"/>
      <c r="B45" s="1050"/>
      <c r="C45" s="682"/>
      <c r="D45" s="682"/>
      <c r="E45" s="682"/>
      <c r="F45" s="682"/>
      <c r="G45" s="682"/>
      <c r="H45" s="741"/>
      <c r="I45" s="370"/>
      <c r="J45" s="185"/>
      <c r="K45" s="185"/>
    </row>
    <row r="46" spans="1:11" ht="15">
      <c r="A46" s="185"/>
      <c r="B46" s="1050"/>
      <c r="C46" s="708" t="s">
        <v>726</v>
      </c>
      <c r="D46" s="682"/>
      <c r="E46" s="682"/>
      <c r="F46" s="682"/>
      <c r="G46" s="682"/>
      <c r="H46" s="682"/>
      <c r="I46" s="370"/>
      <c r="J46" s="185"/>
      <c r="K46" s="185"/>
    </row>
    <row r="47" spans="1:11" ht="15">
      <c r="A47" s="185"/>
      <c r="B47" s="1050"/>
      <c r="C47" s="682" t="s">
        <v>988</v>
      </c>
      <c r="D47" s="682"/>
      <c r="E47" s="682"/>
      <c r="F47" s="682"/>
      <c r="G47" s="682"/>
      <c r="H47" s="679">
        <f>IF(H40&gt;H44,H40,H44)</f>
        <v>10568848</v>
      </c>
      <c r="I47" s="370"/>
      <c r="J47" s="185"/>
      <c r="K47" s="185"/>
    </row>
    <row r="48" spans="1:11" ht="14.25">
      <c r="A48" s="185"/>
      <c r="B48" s="1050"/>
      <c r="C48" s="682"/>
      <c r="D48" s="682"/>
      <c r="E48" s="682"/>
      <c r="F48" s="682"/>
      <c r="G48" s="682"/>
      <c r="H48" s="741"/>
      <c r="I48" s="370"/>
      <c r="J48" s="185"/>
      <c r="K48" s="185"/>
    </row>
    <row r="49" spans="1:11" ht="15" customHeight="1">
      <c r="A49" s="185"/>
      <c r="B49" s="1050"/>
      <c r="C49" s="682" t="s">
        <v>727</v>
      </c>
      <c r="D49" s="682"/>
      <c r="E49" s="682"/>
      <c r="F49" s="682"/>
      <c r="G49" s="742" t="s">
        <v>724</v>
      </c>
      <c r="H49" s="1055">
        <f>H17</f>
        <v>2094365.317054715</v>
      </c>
      <c r="I49" s="370"/>
      <c r="J49" s="185"/>
      <c r="K49" s="185"/>
    </row>
    <row r="50" spans="1:11" ht="14.25">
      <c r="A50" s="185"/>
      <c r="B50" s="1050"/>
      <c r="C50" s="682"/>
      <c r="D50" s="682"/>
      <c r="E50" s="682"/>
      <c r="F50" s="682"/>
      <c r="G50" s="682"/>
      <c r="H50" s="687" t="s">
        <v>711</v>
      </c>
      <c r="I50" s="370"/>
      <c r="J50" s="185"/>
      <c r="K50" s="185"/>
    </row>
    <row r="51" spans="1:11" ht="15.75" thickBot="1">
      <c r="A51" s="185"/>
      <c r="B51" s="1050"/>
      <c r="C51" s="1066" t="str">
        <f>CONCATENATE("Increase Requested-Test Year ",TestYear)</f>
        <v>Increase Requested-Test Year 2015</v>
      </c>
      <c r="D51" s="682"/>
      <c r="E51" s="682"/>
      <c r="F51" s="682"/>
      <c r="G51" s="682"/>
      <c r="H51" s="1056">
        <f>H47-H49</f>
        <v>8474482.682945285</v>
      </c>
      <c r="I51" s="370"/>
      <c r="J51" s="185"/>
      <c r="K51" s="185"/>
    </row>
    <row r="52" spans="1:11" ht="15.75" thickTop="1" thickBot="1">
      <c r="A52" s="185"/>
      <c r="B52" s="1050"/>
      <c r="C52" s="682"/>
      <c r="D52" s="682" t="s">
        <v>728</v>
      </c>
      <c r="E52" s="682"/>
      <c r="F52" s="682"/>
      <c r="G52" s="682"/>
      <c r="H52" s="740"/>
      <c r="I52" s="370"/>
      <c r="J52" s="185"/>
      <c r="K52" s="185"/>
    </row>
    <row r="53" spans="1:11" ht="15" thickBot="1">
      <c r="A53" s="185"/>
      <c r="B53" s="1050"/>
      <c r="C53" s="682"/>
      <c r="D53" s="682" t="s">
        <v>994</v>
      </c>
      <c r="E53" s="682"/>
      <c r="F53" s="682"/>
      <c r="G53" s="1834">
        <f>IF(Attach7!H38&lt;&gt;0,H51/Attach7!H38,0)</f>
        <v>0.30416407509663429</v>
      </c>
      <c r="H53" s="682"/>
      <c r="I53" s="1049"/>
      <c r="J53" s="1039"/>
      <c r="K53" s="185"/>
    </row>
    <row r="54" spans="1:11">
      <c r="A54" s="185"/>
      <c r="B54" s="730"/>
      <c r="C54" s="673"/>
      <c r="D54" s="673"/>
      <c r="E54" s="673"/>
      <c r="F54" s="673"/>
      <c r="G54" s="673"/>
      <c r="H54" s="738"/>
      <c r="I54" s="370"/>
      <c r="J54" s="185"/>
      <c r="K54" s="185"/>
    </row>
    <row r="55" spans="1:11">
      <c r="A55" s="185"/>
      <c r="B55" s="373"/>
      <c r="C55" s="344"/>
      <c r="D55" s="344"/>
      <c r="E55" s="344"/>
      <c r="F55" s="344"/>
      <c r="G55" s="344"/>
      <c r="H55" s="344"/>
      <c r="I55" s="370"/>
      <c r="J55" s="185"/>
      <c r="K55" s="185"/>
    </row>
    <row r="56" spans="1:11">
      <c r="A56" s="185"/>
      <c r="B56" s="373"/>
      <c r="C56" s="344"/>
      <c r="D56" s="344"/>
      <c r="E56" s="344"/>
      <c r="F56" s="344"/>
      <c r="G56" s="344"/>
      <c r="H56" s="1849"/>
      <c r="I56" s="370"/>
      <c r="J56" s="185"/>
      <c r="K56" s="185"/>
    </row>
    <row r="57" spans="1:11">
      <c r="A57" s="185"/>
      <c r="B57" s="373"/>
      <c r="C57" s="344"/>
      <c r="D57" s="344"/>
      <c r="E57" s="344"/>
      <c r="F57" s="344"/>
      <c r="G57" s="344"/>
      <c r="H57" s="344"/>
      <c r="I57" s="370"/>
      <c r="J57" s="185"/>
      <c r="K57" s="185"/>
    </row>
    <row r="58" spans="1:11">
      <c r="A58" s="185"/>
      <c r="B58" s="373"/>
      <c r="C58" s="344"/>
      <c r="D58" s="344"/>
      <c r="E58" s="344"/>
      <c r="F58" s="344"/>
      <c r="G58" s="344"/>
      <c r="H58" s="344"/>
      <c r="I58" s="370"/>
      <c r="J58" s="185"/>
      <c r="K58" s="185"/>
    </row>
    <row r="59" spans="1:11" ht="13.5" thickBot="1">
      <c r="A59" s="185"/>
      <c r="B59" s="384"/>
      <c r="C59" s="385"/>
      <c r="D59" s="385"/>
      <c r="E59" s="385"/>
      <c r="F59" s="385"/>
      <c r="G59" s="385"/>
      <c r="H59" s="385"/>
      <c r="I59" s="386"/>
      <c r="J59" s="185"/>
      <c r="K59" s="185"/>
    </row>
    <row r="60" spans="1:11" ht="13.5" thickTop="1">
      <c r="A60" s="185"/>
      <c r="B60" s="185"/>
      <c r="C60" s="185"/>
      <c r="D60" s="185"/>
      <c r="E60" s="185"/>
      <c r="F60" s="185"/>
      <c r="G60" s="185"/>
      <c r="H60" s="185"/>
      <c r="I60" s="185"/>
      <c r="J60" s="185"/>
      <c r="K60" s="185"/>
    </row>
    <row r="61" spans="1:11">
      <c r="A61" s="185"/>
      <c r="B61" s="185"/>
      <c r="C61" s="185"/>
      <c r="D61" s="185"/>
      <c r="E61" s="185"/>
      <c r="F61" s="185"/>
      <c r="G61" s="185"/>
      <c r="H61" s="185"/>
      <c r="I61" s="185"/>
      <c r="J61" s="185"/>
      <c r="K61" s="185"/>
    </row>
    <row r="62" spans="1:11">
      <c r="A62" s="185"/>
      <c r="B62" s="185"/>
      <c r="C62" s="185"/>
      <c r="D62" s="185"/>
      <c r="E62" s="185"/>
      <c r="F62" s="185"/>
      <c r="G62" s="185"/>
      <c r="H62" s="1821"/>
      <c r="I62" s="185"/>
      <c r="J62" s="185"/>
      <c r="K62" s="185"/>
    </row>
    <row r="63" spans="1:11">
      <c r="A63" s="185"/>
      <c r="B63" s="185"/>
      <c r="C63" s="185"/>
      <c r="D63" s="185"/>
      <c r="E63" s="185"/>
      <c r="F63" s="185"/>
      <c r="G63" s="185"/>
      <c r="H63" s="185"/>
      <c r="I63" s="185"/>
      <c r="J63" s="185"/>
      <c r="K63" s="185"/>
    </row>
    <row r="64" spans="1:11">
      <c r="A64" s="185"/>
      <c r="B64" s="185"/>
      <c r="C64" s="185"/>
      <c r="D64" s="185"/>
      <c r="E64" s="185"/>
      <c r="F64" s="185"/>
      <c r="G64" s="185"/>
      <c r="H64" s="185"/>
      <c r="I64" s="185"/>
      <c r="J64" s="185"/>
      <c r="K64" s="185"/>
    </row>
    <row r="65" spans="1:11">
      <c r="A65" s="185"/>
      <c r="B65" s="185"/>
      <c r="C65" s="185"/>
      <c r="D65" s="185"/>
      <c r="E65" s="185"/>
      <c r="F65" s="185"/>
      <c r="G65" s="185"/>
      <c r="H65" s="185"/>
      <c r="I65" s="185"/>
      <c r="J65" s="185"/>
      <c r="K65" s="185"/>
    </row>
    <row r="66" spans="1:11">
      <c r="A66" s="185"/>
      <c r="B66" s="185"/>
      <c r="C66" s="185"/>
      <c r="D66" s="185"/>
      <c r="E66" s="185"/>
      <c r="F66" s="185"/>
      <c r="G66" s="185"/>
      <c r="H66" s="185"/>
      <c r="I66" s="185"/>
      <c r="J66" s="185"/>
      <c r="K66" s="185"/>
    </row>
    <row r="67" spans="1:11">
      <c r="A67" s="185"/>
      <c r="B67" s="185"/>
      <c r="C67" s="185"/>
      <c r="D67" s="185"/>
      <c r="E67" s="185"/>
      <c r="F67" s="185"/>
      <c r="G67" s="185"/>
      <c r="H67" s="185"/>
      <c r="I67" s="185"/>
      <c r="J67" s="185"/>
      <c r="K67" s="185"/>
    </row>
    <row r="68" spans="1:11">
      <c r="A68" s="185"/>
      <c r="B68" s="185"/>
      <c r="C68" s="185"/>
      <c r="D68" s="185"/>
      <c r="E68" s="185"/>
      <c r="F68" s="185"/>
      <c r="G68" s="185"/>
      <c r="H68" s="185"/>
      <c r="I68" s="185"/>
      <c r="J68" s="185"/>
      <c r="K68" s="185"/>
    </row>
    <row r="69" spans="1:11">
      <c r="A69" s="185"/>
      <c r="B69" s="185"/>
      <c r="C69" s="185"/>
      <c r="D69" s="185"/>
      <c r="E69" s="185"/>
      <c r="F69" s="185"/>
      <c r="G69" s="185"/>
      <c r="H69" s="185"/>
      <c r="I69" s="185"/>
      <c r="J69" s="185"/>
      <c r="K69" s="185"/>
    </row>
    <row r="70" spans="1:11">
      <c r="A70" s="185"/>
      <c r="B70" s="185"/>
      <c r="C70" s="185"/>
      <c r="D70" s="185"/>
      <c r="E70" s="185"/>
      <c r="F70" s="185"/>
      <c r="G70" s="185"/>
      <c r="H70" s="185"/>
      <c r="I70" s="185"/>
      <c r="J70" s="185"/>
      <c r="K70" s="185"/>
    </row>
    <row r="71" spans="1:11">
      <c r="A71" s="185"/>
      <c r="B71" s="185"/>
      <c r="C71" s="185"/>
      <c r="D71" s="185"/>
      <c r="E71" s="185"/>
      <c r="F71" s="185"/>
      <c r="G71" s="185"/>
      <c r="H71" s="185"/>
      <c r="I71" s="185"/>
      <c r="J71" s="185"/>
      <c r="K71" s="185"/>
    </row>
    <row r="72" spans="1:11">
      <c r="A72" s="185"/>
      <c r="B72" s="185"/>
      <c r="C72" s="185"/>
      <c r="D72" s="185"/>
      <c r="E72" s="185"/>
      <c r="F72" s="185"/>
      <c r="G72" s="185"/>
      <c r="H72" s="185"/>
      <c r="I72" s="185"/>
      <c r="J72" s="185"/>
      <c r="K72" s="185"/>
    </row>
    <row r="73" spans="1:11">
      <c r="A73" s="185"/>
      <c r="B73" s="185"/>
      <c r="C73" s="185"/>
      <c r="D73" s="185"/>
      <c r="E73" s="185"/>
      <c r="F73" s="185"/>
      <c r="G73" s="185"/>
      <c r="H73" s="185"/>
      <c r="I73" s="185"/>
      <c r="J73" s="185"/>
      <c r="K73" s="185"/>
    </row>
    <row r="74" spans="1:11">
      <c r="A74" s="185"/>
      <c r="B74" s="185"/>
      <c r="C74" s="185"/>
      <c r="D74" s="185"/>
      <c r="E74" s="185"/>
      <c r="F74" s="185"/>
      <c r="G74" s="185"/>
      <c r="H74" s="185"/>
      <c r="I74" s="185"/>
      <c r="J74" s="185"/>
      <c r="K74" s="185"/>
    </row>
    <row r="75" spans="1:11">
      <c r="A75" s="185"/>
      <c r="B75" s="185"/>
      <c r="C75" s="185"/>
      <c r="D75" s="185"/>
      <c r="E75" s="185"/>
      <c r="F75" s="185"/>
      <c r="G75" s="185"/>
      <c r="H75" s="185"/>
      <c r="I75" s="185"/>
      <c r="J75" s="185"/>
      <c r="K75" s="185"/>
    </row>
    <row r="76" spans="1:11">
      <c r="A76" s="185"/>
      <c r="B76" s="185"/>
      <c r="C76" s="185"/>
      <c r="D76" s="185"/>
      <c r="E76" s="185"/>
      <c r="F76" s="185"/>
      <c r="G76" s="185"/>
      <c r="H76" s="185"/>
      <c r="I76" s="185"/>
      <c r="J76" s="185"/>
      <c r="K76" s="185"/>
    </row>
    <row r="77" spans="1:11">
      <c r="A77" s="185"/>
      <c r="B77" s="185"/>
      <c r="C77" s="185"/>
      <c r="D77" s="185"/>
      <c r="E77" s="185"/>
      <c r="F77" s="185"/>
      <c r="G77" s="185"/>
      <c r="H77" s="185"/>
      <c r="I77" s="185"/>
      <c r="J77" s="185"/>
      <c r="K77" s="185"/>
    </row>
    <row r="78" spans="1:11">
      <c r="A78" s="185"/>
      <c r="B78" s="185"/>
      <c r="C78" s="185"/>
      <c r="D78" s="185"/>
      <c r="E78" s="185"/>
      <c r="F78" s="185"/>
      <c r="G78" s="185"/>
      <c r="H78" s="185"/>
      <c r="I78" s="185"/>
      <c r="J78" s="185"/>
      <c r="K78" s="185"/>
    </row>
    <row r="79" spans="1:11">
      <c r="A79" s="185"/>
      <c r="B79" s="185"/>
      <c r="C79" s="185"/>
      <c r="D79" s="185"/>
      <c r="E79" s="185"/>
      <c r="F79" s="185"/>
      <c r="G79" s="185"/>
      <c r="H79" s="185"/>
      <c r="I79" s="185"/>
      <c r="J79" s="185"/>
      <c r="K79" s="185"/>
    </row>
    <row r="80" spans="1:11">
      <c r="A80" s="185"/>
      <c r="B80" s="185"/>
      <c r="C80" s="185"/>
      <c r="D80" s="185"/>
      <c r="E80" s="185"/>
      <c r="F80" s="185"/>
      <c r="G80" s="185"/>
      <c r="H80" s="185"/>
      <c r="I80" s="185"/>
      <c r="J80" s="185"/>
      <c r="K80" s="185"/>
    </row>
    <row r="81" spans="1:11">
      <c r="A81" s="185"/>
      <c r="B81" s="185"/>
      <c r="C81" s="185"/>
      <c r="D81" s="185"/>
      <c r="E81" s="185"/>
      <c r="F81" s="185"/>
      <c r="G81" s="185"/>
      <c r="H81" s="185"/>
      <c r="I81" s="185"/>
      <c r="J81" s="185"/>
      <c r="K81" s="185"/>
    </row>
    <row r="82" spans="1:11">
      <c r="A82" s="185"/>
      <c r="B82" s="185"/>
      <c r="C82" s="185"/>
      <c r="D82" s="185"/>
      <c r="E82" s="185"/>
      <c r="F82" s="185"/>
      <c r="G82" s="185"/>
      <c r="H82" s="185"/>
      <c r="I82" s="185"/>
      <c r="J82" s="185"/>
      <c r="K82" s="185"/>
    </row>
    <row r="83" spans="1:11">
      <c r="A83" s="185"/>
      <c r="B83" s="185"/>
      <c r="C83" s="185"/>
      <c r="D83" s="185"/>
      <c r="E83" s="185"/>
      <c r="F83" s="185"/>
      <c r="G83" s="185"/>
      <c r="H83" s="185"/>
      <c r="I83" s="185"/>
      <c r="J83" s="185"/>
      <c r="K83" s="185"/>
    </row>
    <row r="84" spans="1:11">
      <c r="A84" s="185"/>
      <c r="B84" s="185"/>
      <c r="C84" s="185"/>
      <c r="D84" s="185"/>
      <c r="E84" s="185"/>
      <c r="F84" s="185"/>
      <c r="G84" s="185"/>
      <c r="H84" s="185"/>
      <c r="I84" s="185"/>
      <c r="J84" s="185"/>
      <c r="K84" s="185"/>
    </row>
    <row r="85" spans="1:11">
      <c r="A85" s="185"/>
      <c r="B85" s="185"/>
      <c r="C85" s="185"/>
      <c r="D85" s="185"/>
      <c r="E85" s="185"/>
      <c r="F85" s="185"/>
      <c r="G85" s="185"/>
      <c r="H85" s="185"/>
      <c r="I85" s="185"/>
      <c r="J85" s="185"/>
      <c r="K85" s="185"/>
    </row>
    <row r="86" spans="1:11">
      <c r="A86" s="185"/>
      <c r="B86" s="185"/>
      <c r="C86" s="185"/>
      <c r="D86" s="185"/>
      <c r="E86" s="185"/>
      <c r="F86" s="185"/>
      <c r="G86" s="185"/>
      <c r="H86" s="185"/>
      <c r="I86" s="185"/>
      <c r="J86" s="185"/>
      <c r="K86" s="185"/>
    </row>
    <row r="87" spans="1:11">
      <c r="A87" s="185"/>
      <c r="B87" s="185"/>
      <c r="C87" s="185"/>
      <c r="D87" s="185"/>
      <c r="E87" s="185"/>
      <c r="F87" s="185"/>
      <c r="G87" s="185"/>
      <c r="H87" s="185"/>
      <c r="I87" s="185"/>
      <c r="J87" s="185"/>
      <c r="K87" s="185"/>
    </row>
    <row r="88" spans="1:11">
      <c r="A88" s="185"/>
      <c r="B88" s="185"/>
      <c r="C88" s="185"/>
      <c r="D88" s="185"/>
      <c r="E88" s="185"/>
      <c r="F88" s="185"/>
      <c r="G88" s="185"/>
      <c r="H88" s="185"/>
      <c r="I88" s="185"/>
      <c r="J88" s="185"/>
      <c r="K88" s="185"/>
    </row>
    <row r="89" spans="1:11">
      <c r="A89" s="185"/>
      <c r="B89" s="185"/>
      <c r="C89" s="185"/>
      <c r="D89" s="185"/>
      <c r="E89" s="185"/>
      <c r="F89" s="185"/>
      <c r="G89" s="185"/>
      <c r="H89" s="185"/>
      <c r="I89" s="185"/>
      <c r="J89" s="185"/>
      <c r="K89" s="185"/>
    </row>
    <row r="90" spans="1:11">
      <c r="A90" s="185"/>
      <c r="B90" s="185"/>
      <c r="C90" s="185"/>
      <c r="D90" s="185"/>
      <c r="E90" s="185"/>
      <c r="F90" s="185"/>
      <c r="G90" s="185"/>
      <c r="H90" s="185"/>
      <c r="I90" s="185"/>
      <c r="J90" s="185"/>
      <c r="K90" s="185"/>
    </row>
    <row r="91" spans="1:11">
      <c r="A91" s="185"/>
      <c r="B91" s="185"/>
      <c r="C91" s="185"/>
      <c r="D91" s="185"/>
      <c r="E91" s="185"/>
      <c r="F91" s="185"/>
      <c r="G91" s="185"/>
      <c r="H91" s="185"/>
      <c r="I91" s="185"/>
      <c r="J91" s="185"/>
      <c r="K91" s="185"/>
    </row>
    <row r="92" spans="1:11">
      <c r="A92" s="185"/>
      <c r="B92" s="185"/>
      <c r="C92" s="185"/>
      <c r="D92" s="185"/>
      <c r="E92" s="185"/>
      <c r="F92" s="185"/>
      <c r="G92" s="185"/>
      <c r="H92" s="185"/>
      <c r="I92" s="185"/>
      <c r="J92" s="185"/>
      <c r="K92" s="185"/>
    </row>
    <row r="93" spans="1:11">
      <c r="A93" s="185"/>
      <c r="B93" s="185"/>
      <c r="C93" s="185"/>
      <c r="D93" s="185"/>
      <c r="E93" s="185"/>
      <c r="F93" s="185"/>
      <c r="G93" s="185"/>
      <c r="H93" s="185"/>
      <c r="I93" s="185"/>
      <c r="J93" s="185"/>
      <c r="K93" s="185"/>
    </row>
    <row r="94" spans="1:11">
      <c r="A94" s="185"/>
      <c r="B94" s="185"/>
      <c r="C94" s="185"/>
      <c r="D94" s="185"/>
      <c r="E94" s="185"/>
      <c r="F94" s="185"/>
      <c r="G94" s="185"/>
      <c r="H94" s="185"/>
      <c r="I94" s="185"/>
      <c r="J94" s="185"/>
      <c r="K94" s="185"/>
    </row>
    <row r="95" spans="1:11">
      <c r="A95" s="185"/>
      <c r="B95" s="185"/>
      <c r="C95" s="185"/>
      <c r="D95" s="185"/>
      <c r="E95" s="185"/>
      <c r="F95" s="185"/>
      <c r="G95" s="185"/>
      <c r="H95" s="185"/>
      <c r="I95" s="185"/>
      <c r="J95" s="185"/>
      <c r="K95" s="185"/>
    </row>
    <row r="96" spans="1:11">
      <c r="A96" s="185"/>
      <c r="B96" s="185"/>
      <c r="C96" s="185"/>
      <c r="D96" s="185"/>
      <c r="E96" s="185"/>
      <c r="F96" s="185"/>
      <c r="G96" s="185"/>
      <c r="H96" s="185"/>
      <c r="I96" s="185"/>
      <c r="J96" s="185"/>
      <c r="K96" s="185"/>
    </row>
    <row r="97" spans="1:11">
      <c r="A97" s="185"/>
      <c r="B97" s="185"/>
      <c r="C97" s="185"/>
      <c r="D97" s="185"/>
      <c r="E97" s="185"/>
      <c r="F97" s="185"/>
      <c r="G97" s="185"/>
      <c r="H97" s="185"/>
      <c r="I97" s="185"/>
      <c r="J97" s="185"/>
      <c r="K97" s="185"/>
    </row>
    <row r="98" spans="1:11">
      <c r="A98" s="185"/>
      <c r="B98" s="185"/>
      <c r="C98" s="185"/>
      <c r="D98" s="185"/>
      <c r="E98" s="185"/>
      <c r="F98" s="185"/>
      <c r="G98" s="185"/>
      <c r="H98" s="185"/>
      <c r="I98" s="185"/>
      <c r="J98" s="185"/>
      <c r="K98" s="185"/>
    </row>
    <row r="99" spans="1:11">
      <c r="A99" s="185"/>
      <c r="B99" s="185"/>
      <c r="C99" s="185"/>
      <c r="D99" s="185"/>
      <c r="E99" s="185"/>
      <c r="F99" s="185"/>
      <c r="G99" s="185"/>
      <c r="H99" s="185"/>
      <c r="I99" s="185"/>
      <c r="J99" s="185"/>
      <c r="K99" s="185"/>
    </row>
    <row r="100" spans="1:11">
      <c r="A100" s="185"/>
      <c r="B100" s="185"/>
      <c r="C100" s="185"/>
      <c r="D100" s="185"/>
      <c r="E100" s="185"/>
      <c r="F100" s="185"/>
      <c r="G100" s="185"/>
      <c r="H100" s="185"/>
      <c r="I100" s="185"/>
      <c r="J100" s="185"/>
      <c r="K100" s="185"/>
    </row>
    <row r="101" spans="1:11">
      <c r="A101" s="185"/>
      <c r="B101" s="185"/>
      <c r="C101" s="185"/>
      <c r="D101" s="185"/>
      <c r="E101" s="185"/>
      <c r="F101" s="185"/>
      <c r="G101" s="185"/>
      <c r="H101" s="185"/>
      <c r="I101" s="185"/>
      <c r="J101" s="185"/>
      <c r="K101" s="185"/>
    </row>
    <row r="102" spans="1:11">
      <c r="A102" s="185"/>
      <c r="B102" s="185"/>
      <c r="C102" s="185"/>
      <c r="D102" s="185"/>
      <c r="E102" s="185"/>
      <c r="F102" s="185"/>
      <c r="G102" s="185"/>
      <c r="H102" s="185"/>
      <c r="I102" s="185"/>
      <c r="J102" s="185"/>
      <c r="K102" s="185"/>
    </row>
    <row r="103" spans="1:11">
      <c r="A103" s="185"/>
      <c r="B103" s="185"/>
      <c r="C103" s="185"/>
      <c r="D103" s="185"/>
      <c r="E103" s="185"/>
      <c r="F103" s="185"/>
      <c r="G103" s="185"/>
      <c r="H103" s="185"/>
      <c r="I103" s="185"/>
      <c r="J103" s="185"/>
      <c r="K103" s="185"/>
    </row>
    <row r="104" spans="1:11">
      <c r="A104" s="185"/>
      <c r="B104" s="185"/>
      <c r="C104" s="185"/>
      <c r="D104" s="185"/>
      <c r="E104" s="185"/>
      <c r="F104" s="185"/>
      <c r="G104" s="185"/>
      <c r="H104" s="185"/>
      <c r="I104" s="185"/>
      <c r="J104" s="185"/>
      <c r="K104" s="185"/>
    </row>
    <row r="105" spans="1:11">
      <c r="A105" s="185"/>
      <c r="B105" s="185"/>
      <c r="C105" s="185"/>
      <c r="D105" s="185"/>
      <c r="E105" s="185"/>
      <c r="F105" s="185"/>
      <c r="G105" s="185"/>
      <c r="H105" s="185"/>
      <c r="I105" s="185"/>
      <c r="J105" s="185"/>
      <c r="K105" s="185"/>
    </row>
    <row r="106" spans="1:11">
      <c r="A106" s="185"/>
      <c r="B106" s="185"/>
      <c r="C106" s="185"/>
      <c r="D106" s="185"/>
      <c r="E106" s="185"/>
      <c r="F106" s="185"/>
      <c r="G106" s="185"/>
      <c r="H106" s="185"/>
      <c r="I106" s="185"/>
      <c r="J106" s="185"/>
      <c r="K106" s="185"/>
    </row>
    <row r="107" spans="1:11">
      <c r="A107" s="185"/>
      <c r="B107" s="185"/>
      <c r="C107" s="185"/>
      <c r="D107" s="185"/>
      <c r="E107" s="185"/>
      <c r="F107" s="185"/>
      <c r="G107" s="185"/>
      <c r="H107" s="185"/>
      <c r="I107" s="185"/>
      <c r="J107" s="185"/>
      <c r="K107" s="185"/>
    </row>
    <row r="108" spans="1:11">
      <c r="A108" s="185"/>
      <c r="B108" s="185"/>
      <c r="C108" s="185"/>
      <c r="D108" s="185"/>
      <c r="E108" s="185"/>
      <c r="F108" s="185"/>
      <c r="G108" s="185"/>
      <c r="H108" s="185"/>
      <c r="I108" s="185"/>
      <c r="J108" s="185"/>
      <c r="K108" s="185"/>
    </row>
    <row r="109" spans="1:11">
      <c r="A109" s="185"/>
      <c r="B109" s="185"/>
      <c r="C109" s="185"/>
      <c r="D109" s="185"/>
      <c r="E109" s="185"/>
      <c r="F109" s="185"/>
      <c r="G109" s="185"/>
      <c r="H109" s="185"/>
      <c r="I109" s="185"/>
      <c r="J109" s="185"/>
      <c r="K109" s="185"/>
    </row>
    <row r="110" spans="1:11">
      <c r="A110" s="185"/>
      <c r="B110" s="185"/>
      <c r="C110" s="185"/>
      <c r="D110" s="185"/>
      <c r="E110" s="185"/>
      <c r="F110" s="185"/>
      <c r="G110" s="185"/>
      <c r="H110" s="185"/>
      <c r="I110" s="185"/>
      <c r="J110" s="185"/>
      <c r="K110" s="185"/>
    </row>
    <row r="111" spans="1:11">
      <c r="A111" s="185"/>
      <c r="B111" s="185"/>
      <c r="C111" s="185"/>
      <c r="D111" s="185"/>
      <c r="E111" s="185"/>
      <c r="F111" s="185"/>
      <c r="G111" s="185"/>
      <c r="H111" s="185"/>
      <c r="I111" s="185"/>
      <c r="J111" s="185"/>
      <c r="K111" s="185"/>
    </row>
    <row r="112" spans="1:11">
      <c r="A112" s="185"/>
      <c r="B112" s="185"/>
      <c r="C112" s="185"/>
      <c r="D112" s="185"/>
      <c r="E112" s="185"/>
      <c r="F112" s="185"/>
      <c r="G112" s="185"/>
      <c r="H112" s="185"/>
      <c r="I112" s="185"/>
      <c r="J112" s="185"/>
      <c r="K112" s="185"/>
    </row>
    <row r="113" spans="1:11">
      <c r="A113" s="185"/>
      <c r="B113" s="185"/>
      <c r="C113" s="185"/>
      <c r="D113" s="185"/>
      <c r="E113" s="185"/>
      <c r="F113" s="185"/>
      <c r="G113" s="185"/>
      <c r="H113" s="185"/>
      <c r="I113" s="185"/>
      <c r="J113" s="185"/>
      <c r="K113" s="185"/>
    </row>
    <row r="114" spans="1:11">
      <c r="A114" s="185"/>
      <c r="B114" s="185"/>
      <c r="C114" s="185"/>
      <c r="D114" s="185"/>
      <c r="E114" s="185"/>
      <c r="F114" s="185"/>
      <c r="G114" s="185"/>
      <c r="H114" s="185"/>
      <c r="I114" s="185"/>
      <c r="J114" s="185"/>
      <c r="K114" s="185"/>
    </row>
    <row r="115" spans="1:11">
      <c r="A115" s="185"/>
      <c r="B115" s="185"/>
      <c r="C115" s="185"/>
      <c r="D115" s="185"/>
      <c r="E115" s="185"/>
      <c r="F115" s="185"/>
      <c r="G115" s="185"/>
      <c r="H115" s="185"/>
      <c r="I115" s="185"/>
      <c r="J115" s="185"/>
      <c r="K115" s="185"/>
    </row>
    <row r="116" spans="1:11">
      <c r="A116" s="185"/>
      <c r="B116" s="185"/>
      <c r="C116" s="185"/>
      <c r="D116" s="185"/>
      <c r="E116" s="185"/>
      <c r="F116" s="185"/>
      <c r="G116" s="185"/>
      <c r="H116" s="185"/>
      <c r="I116" s="185"/>
      <c r="J116" s="185"/>
      <c r="K116" s="185"/>
    </row>
    <row r="117" spans="1:11">
      <c r="A117" s="185"/>
      <c r="B117" s="185"/>
      <c r="C117" s="185"/>
      <c r="D117" s="185"/>
      <c r="E117" s="185"/>
      <c r="F117" s="185"/>
      <c r="G117" s="185"/>
      <c r="H117" s="185"/>
      <c r="I117" s="185"/>
      <c r="J117" s="185"/>
      <c r="K117" s="185"/>
    </row>
    <row r="118" spans="1:11">
      <c r="A118" s="185"/>
      <c r="B118" s="185"/>
      <c r="C118" s="185"/>
      <c r="D118" s="185"/>
      <c r="E118" s="185"/>
      <c r="F118" s="185"/>
      <c r="G118" s="185"/>
      <c r="H118" s="185"/>
      <c r="I118" s="185"/>
      <c r="J118" s="185"/>
      <c r="K118" s="185"/>
    </row>
    <row r="119" spans="1:11">
      <c r="A119" s="185"/>
      <c r="B119" s="185"/>
      <c r="C119" s="185"/>
      <c r="D119" s="185"/>
      <c r="E119" s="185"/>
      <c r="F119" s="185"/>
      <c r="G119" s="185"/>
      <c r="H119" s="185"/>
      <c r="I119" s="185"/>
      <c r="J119" s="185"/>
      <c r="K119" s="185"/>
    </row>
    <row r="120" spans="1:11">
      <c r="A120" s="185"/>
      <c r="B120" s="185"/>
      <c r="C120" s="185"/>
      <c r="D120" s="185"/>
      <c r="E120" s="185"/>
      <c r="F120" s="185"/>
      <c r="G120" s="185"/>
      <c r="H120" s="185"/>
      <c r="I120" s="185"/>
      <c r="J120" s="185"/>
      <c r="K120" s="185"/>
    </row>
    <row r="121" spans="1:11">
      <c r="A121" s="185"/>
      <c r="B121" s="185"/>
      <c r="C121" s="185"/>
      <c r="D121" s="185"/>
      <c r="E121" s="185"/>
      <c r="F121" s="185"/>
      <c r="G121" s="185"/>
      <c r="H121" s="185"/>
      <c r="I121" s="185"/>
      <c r="J121" s="185"/>
      <c r="K121" s="185"/>
    </row>
    <row r="122" spans="1:11">
      <c r="A122" s="185"/>
      <c r="B122" s="185"/>
      <c r="C122" s="185"/>
      <c r="D122" s="185"/>
      <c r="E122" s="185"/>
      <c r="F122" s="185"/>
      <c r="G122" s="185"/>
      <c r="H122" s="185"/>
      <c r="I122" s="185"/>
      <c r="J122" s="185"/>
      <c r="K122" s="185"/>
    </row>
    <row r="123" spans="1:11">
      <c r="A123" s="185"/>
      <c r="B123" s="185"/>
      <c r="C123" s="185"/>
      <c r="D123" s="185"/>
      <c r="E123" s="185"/>
      <c r="F123" s="185"/>
      <c r="G123" s="185"/>
      <c r="H123" s="185"/>
      <c r="I123" s="185"/>
      <c r="J123" s="185"/>
      <c r="K123" s="185"/>
    </row>
    <row r="124" spans="1:11">
      <c r="A124" s="185"/>
      <c r="B124" s="185"/>
      <c r="C124" s="185"/>
      <c r="D124" s="185"/>
      <c r="E124" s="185"/>
      <c r="F124" s="185"/>
      <c r="G124" s="185"/>
      <c r="H124" s="185"/>
      <c r="I124" s="185"/>
      <c r="J124" s="185"/>
      <c r="K124" s="185"/>
    </row>
    <row r="125" spans="1:11">
      <c r="A125" s="185"/>
      <c r="B125" s="185"/>
      <c r="C125" s="185"/>
      <c r="D125" s="185"/>
      <c r="E125" s="185"/>
      <c r="F125" s="185"/>
      <c r="G125" s="185"/>
      <c r="H125" s="185"/>
      <c r="I125" s="185"/>
      <c r="J125" s="185"/>
      <c r="K125" s="185"/>
    </row>
    <row r="126" spans="1:11">
      <c r="A126" s="185"/>
      <c r="B126" s="185"/>
      <c r="C126" s="185"/>
      <c r="D126" s="185"/>
      <c r="E126" s="185"/>
      <c r="F126" s="185"/>
      <c r="G126" s="185"/>
      <c r="H126" s="185"/>
      <c r="I126" s="185"/>
      <c r="J126" s="185"/>
      <c r="K126" s="185"/>
    </row>
    <row r="127" spans="1:11">
      <c r="A127" s="185"/>
      <c r="B127" s="185"/>
      <c r="C127" s="185"/>
      <c r="D127" s="185"/>
      <c r="E127" s="185"/>
      <c r="F127" s="185"/>
      <c r="G127" s="185"/>
      <c r="H127" s="185"/>
      <c r="I127" s="185"/>
      <c r="J127" s="185"/>
      <c r="K127" s="185"/>
    </row>
    <row r="128" spans="1:11">
      <c r="A128" s="185"/>
      <c r="B128" s="185"/>
      <c r="C128" s="185"/>
      <c r="D128" s="185"/>
      <c r="E128" s="185"/>
      <c r="F128" s="185"/>
      <c r="G128" s="185"/>
      <c r="H128" s="185"/>
      <c r="I128" s="185"/>
      <c r="J128" s="185"/>
      <c r="K128" s="185"/>
    </row>
    <row r="129" spans="1:11">
      <c r="A129" s="185"/>
      <c r="B129" s="185"/>
      <c r="C129" s="185"/>
      <c r="D129" s="185"/>
      <c r="E129" s="185"/>
      <c r="F129" s="185"/>
      <c r="G129" s="185"/>
      <c r="H129" s="185"/>
      <c r="I129" s="185"/>
      <c r="J129" s="185"/>
      <c r="K129" s="185"/>
    </row>
    <row r="130" spans="1:11">
      <c r="A130" s="185"/>
      <c r="B130" s="185"/>
      <c r="C130" s="185"/>
      <c r="D130" s="185"/>
      <c r="E130" s="185"/>
      <c r="F130" s="185"/>
      <c r="G130" s="185"/>
      <c r="H130" s="185"/>
      <c r="I130" s="185"/>
      <c r="J130" s="185"/>
      <c r="K130" s="185"/>
    </row>
    <row r="131" spans="1:11">
      <c r="A131" s="185"/>
      <c r="B131" s="185"/>
      <c r="C131" s="185"/>
      <c r="D131" s="185"/>
      <c r="E131" s="185"/>
      <c r="F131" s="185"/>
      <c r="G131" s="185"/>
      <c r="H131" s="185"/>
      <c r="I131" s="185"/>
      <c r="J131" s="185"/>
      <c r="K131" s="185"/>
    </row>
    <row r="132" spans="1:11">
      <c r="A132" s="185"/>
      <c r="B132" s="185"/>
      <c r="C132" s="185"/>
      <c r="D132" s="185"/>
      <c r="E132" s="185"/>
      <c r="F132" s="185"/>
      <c r="G132" s="185"/>
      <c r="H132" s="185"/>
      <c r="I132" s="185"/>
      <c r="J132" s="185"/>
      <c r="K132" s="185"/>
    </row>
    <row r="133" spans="1:11">
      <c r="A133" s="185"/>
      <c r="B133" s="185"/>
      <c r="C133" s="185"/>
      <c r="D133" s="185"/>
      <c r="E133" s="185"/>
      <c r="F133" s="185"/>
      <c r="G133" s="185"/>
      <c r="H133" s="185"/>
      <c r="I133" s="185"/>
      <c r="J133" s="185"/>
      <c r="K133" s="185"/>
    </row>
    <row r="134" spans="1:11">
      <c r="A134" s="185"/>
      <c r="B134" s="185"/>
      <c r="C134" s="185"/>
      <c r="D134" s="185"/>
      <c r="E134" s="185"/>
      <c r="F134" s="185"/>
      <c r="G134" s="185"/>
      <c r="H134" s="185"/>
      <c r="I134" s="185"/>
      <c r="J134" s="185"/>
      <c r="K134" s="185"/>
    </row>
    <row r="135" spans="1:11">
      <c r="A135" s="185"/>
      <c r="B135" s="185"/>
      <c r="C135" s="185"/>
      <c r="D135" s="185"/>
      <c r="E135" s="185"/>
      <c r="F135" s="185"/>
      <c r="G135" s="185"/>
      <c r="H135" s="185"/>
      <c r="I135" s="185"/>
      <c r="J135" s="185"/>
      <c r="K135" s="185"/>
    </row>
    <row r="136" spans="1:11">
      <c r="A136" s="185"/>
      <c r="B136" s="185"/>
      <c r="C136" s="185"/>
      <c r="D136" s="185"/>
      <c r="E136" s="185"/>
      <c r="F136" s="185"/>
      <c r="G136" s="185"/>
      <c r="H136" s="185"/>
      <c r="I136" s="185"/>
      <c r="J136" s="185"/>
      <c r="K136" s="185"/>
    </row>
    <row r="137" spans="1:11">
      <c r="A137" s="185"/>
      <c r="B137" s="185"/>
      <c r="C137" s="185"/>
      <c r="D137" s="185"/>
      <c r="E137" s="185"/>
      <c r="F137" s="185"/>
      <c r="G137" s="185"/>
      <c r="H137" s="185"/>
      <c r="I137" s="185"/>
      <c r="J137" s="185"/>
      <c r="K137" s="185"/>
    </row>
    <row r="138" spans="1:11">
      <c r="A138" s="185"/>
      <c r="B138" s="185"/>
      <c r="C138" s="185"/>
      <c r="D138" s="185"/>
      <c r="E138" s="185"/>
      <c r="F138" s="185"/>
      <c r="G138" s="185"/>
      <c r="H138" s="185"/>
      <c r="I138" s="185"/>
      <c r="J138" s="185"/>
      <c r="K138" s="185"/>
    </row>
    <row r="139" spans="1:11">
      <c r="A139" s="185"/>
      <c r="B139" s="185"/>
      <c r="C139" s="185"/>
      <c r="D139" s="185"/>
      <c r="E139" s="185"/>
      <c r="F139" s="185"/>
      <c r="G139" s="185"/>
      <c r="H139" s="185"/>
      <c r="I139" s="185"/>
      <c r="J139" s="185"/>
      <c r="K139" s="185"/>
    </row>
    <row r="140" spans="1:11">
      <c r="A140" s="185"/>
      <c r="B140" s="185"/>
      <c r="C140" s="185"/>
      <c r="D140" s="185"/>
      <c r="E140" s="185"/>
      <c r="F140" s="185"/>
      <c r="G140" s="185"/>
      <c r="H140" s="185"/>
      <c r="I140" s="185"/>
      <c r="J140" s="185"/>
      <c r="K140" s="185"/>
    </row>
    <row r="141" spans="1:11">
      <c r="A141" s="185"/>
      <c r="B141" s="185"/>
      <c r="C141" s="185"/>
      <c r="D141" s="185"/>
      <c r="E141" s="185"/>
      <c r="F141" s="185"/>
      <c r="G141" s="185"/>
      <c r="H141" s="185"/>
      <c r="I141" s="185"/>
      <c r="J141" s="185"/>
      <c r="K141" s="185"/>
    </row>
    <row r="142" spans="1:11">
      <c r="A142" s="185"/>
      <c r="B142" s="185"/>
      <c r="C142" s="185"/>
      <c r="D142" s="185"/>
      <c r="E142" s="185"/>
      <c r="F142" s="185"/>
      <c r="G142" s="185"/>
      <c r="H142" s="185"/>
      <c r="I142" s="185"/>
      <c r="J142" s="185"/>
      <c r="K142" s="185"/>
    </row>
    <row r="143" spans="1:11">
      <c r="A143" s="185"/>
      <c r="B143" s="185"/>
      <c r="C143" s="185"/>
      <c r="D143" s="185"/>
      <c r="E143" s="185"/>
      <c r="F143" s="185"/>
      <c r="G143" s="185"/>
      <c r="H143" s="185"/>
      <c r="I143" s="185"/>
      <c r="J143" s="185"/>
      <c r="K143" s="185"/>
    </row>
    <row r="144" spans="1:11">
      <c r="A144" s="185"/>
      <c r="B144" s="185"/>
      <c r="C144" s="185"/>
      <c r="D144" s="185"/>
      <c r="E144" s="185"/>
      <c r="F144" s="185"/>
      <c r="G144" s="185"/>
      <c r="H144" s="185"/>
      <c r="I144" s="185"/>
      <c r="J144" s="185"/>
      <c r="K144" s="185"/>
    </row>
    <row r="145" spans="1:11">
      <c r="A145" s="185"/>
      <c r="B145" s="185"/>
      <c r="C145" s="185"/>
      <c r="D145" s="185"/>
      <c r="E145" s="185"/>
      <c r="F145" s="185"/>
      <c r="G145" s="185"/>
      <c r="H145" s="185"/>
      <c r="I145" s="185"/>
      <c r="J145" s="185"/>
      <c r="K145" s="185"/>
    </row>
    <row r="146" spans="1:11">
      <c r="A146" s="185"/>
      <c r="B146" s="185"/>
      <c r="C146" s="185"/>
      <c r="D146" s="185"/>
      <c r="E146" s="185"/>
      <c r="F146" s="185"/>
      <c r="G146" s="185"/>
      <c r="H146" s="185"/>
      <c r="I146" s="185"/>
      <c r="J146" s="185"/>
      <c r="K146" s="185"/>
    </row>
    <row r="147" spans="1:11">
      <c r="A147" s="185"/>
      <c r="B147" s="185"/>
      <c r="C147" s="185"/>
      <c r="D147" s="185"/>
      <c r="E147" s="185"/>
      <c r="F147" s="185"/>
      <c r="G147" s="185"/>
      <c r="H147" s="185"/>
      <c r="I147" s="185"/>
      <c r="J147" s="185"/>
      <c r="K147" s="185"/>
    </row>
    <row r="148" spans="1:11">
      <c r="A148" s="185"/>
      <c r="B148" s="185"/>
      <c r="C148" s="185"/>
      <c r="D148" s="185"/>
      <c r="E148" s="185"/>
      <c r="F148" s="185"/>
      <c r="G148" s="185"/>
      <c r="H148" s="185"/>
      <c r="I148" s="185"/>
      <c r="J148" s="185"/>
      <c r="K148" s="185"/>
    </row>
    <row r="149" spans="1:11">
      <c r="A149" s="185"/>
      <c r="B149" s="185"/>
      <c r="C149" s="185"/>
      <c r="D149" s="185"/>
      <c r="E149" s="185"/>
      <c r="F149" s="185"/>
      <c r="G149" s="185"/>
      <c r="H149" s="185"/>
      <c r="I149" s="185"/>
      <c r="J149" s="185"/>
      <c r="K149" s="185"/>
    </row>
    <row r="150" spans="1:11">
      <c r="A150" s="185"/>
      <c r="B150" s="185"/>
      <c r="C150" s="185"/>
      <c r="D150" s="185"/>
      <c r="E150" s="185"/>
      <c r="F150" s="185"/>
      <c r="G150" s="185"/>
      <c r="H150" s="185"/>
      <c r="I150" s="185"/>
      <c r="J150" s="185"/>
      <c r="K150" s="185"/>
    </row>
    <row r="151" spans="1:11">
      <c r="A151" s="185"/>
      <c r="B151" s="185"/>
      <c r="C151" s="185"/>
      <c r="D151" s="185"/>
      <c r="E151" s="185"/>
      <c r="F151" s="185"/>
      <c r="G151" s="185"/>
      <c r="H151" s="185"/>
      <c r="I151" s="185"/>
      <c r="J151" s="185"/>
      <c r="K151" s="185"/>
    </row>
    <row r="152" spans="1:11">
      <c r="A152" s="185"/>
      <c r="B152" s="185"/>
      <c r="C152" s="185"/>
      <c r="D152" s="185"/>
      <c r="E152" s="185"/>
      <c r="F152" s="185"/>
      <c r="G152" s="185"/>
      <c r="H152" s="185"/>
      <c r="I152" s="185"/>
      <c r="J152" s="185"/>
      <c r="K152" s="185"/>
    </row>
    <row r="153" spans="1:11">
      <c r="A153" s="185"/>
      <c r="B153" s="185"/>
      <c r="C153" s="185"/>
      <c r="D153" s="185"/>
      <c r="E153" s="185"/>
      <c r="F153" s="185"/>
      <c r="G153" s="185"/>
      <c r="H153" s="185"/>
      <c r="I153" s="185"/>
      <c r="J153" s="185"/>
      <c r="K153" s="185"/>
    </row>
    <row r="154" spans="1:11">
      <c r="A154" s="185"/>
      <c r="B154" s="185"/>
      <c r="C154" s="185"/>
      <c r="D154" s="185"/>
      <c r="E154" s="185"/>
      <c r="F154" s="185"/>
      <c r="G154" s="185"/>
      <c r="H154" s="185"/>
      <c r="I154" s="185"/>
      <c r="J154" s="185"/>
      <c r="K154" s="185"/>
    </row>
    <row r="155" spans="1:11">
      <c r="A155" s="185"/>
      <c r="B155" s="185"/>
      <c r="C155" s="185"/>
      <c r="D155" s="185"/>
      <c r="E155" s="185"/>
      <c r="F155" s="185"/>
      <c r="G155" s="185"/>
      <c r="H155" s="185"/>
      <c r="I155" s="185"/>
      <c r="J155" s="185"/>
      <c r="K155" s="185"/>
    </row>
    <row r="156" spans="1:11">
      <c r="A156" s="185"/>
      <c r="B156" s="185"/>
      <c r="C156" s="185"/>
      <c r="D156" s="185"/>
      <c r="E156" s="185"/>
      <c r="F156" s="185"/>
      <c r="G156" s="185"/>
      <c r="H156" s="185"/>
      <c r="I156" s="185"/>
      <c r="J156" s="185"/>
      <c r="K156" s="185"/>
    </row>
    <row r="157" spans="1:11">
      <c r="A157" s="185"/>
      <c r="B157" s="185"/>
      <c r="C157" s="185"/>
      <c r="D157" s="185"/>
      <c r="E157" s="185"/>
      <c r="F157" s="185"/>
      <c r="G157" s="185"/>
      <c r="H157" s="185"/>
      <c r="I157" s="185"/>
      <c r="J157" s="185"/>
      <c r="K157" s="185"/>
    </row>
    <row r="158" spans="1:11">
      <c r="A158" s="185"/>
      <c r="B158" s="185"/>
      <c r="C158" s="185"/>
      <c r="D158" s="185"/>
      <c r="E158" s="185"/>
      <c r="F158" s="185"/>
      <c r="G158" s="185"/>
      <c r="H158" s="185"/>
      <c r="I158" s="185"/>
      <c r="J158" s="185"/>
      <c r="K158" s="185"/>
    </row>
    <row r="159" spans="1:11">
      <c r="A159" s="185"/>
      <c r="B159" s="185"/>
      <c r="C159" s="185"/>
      <c r="D159" s="185"/>
      <c r="E159" s="185"/>
      <c r="F159" s="185"/>
      <c r="G159" s="185"/>
      <c r="H159" s="185"/>
      <c r="I159" s="185"/>
      <c r="J159" s="185"/>
      <c r="K159" s="185"/>
    </row>
    <row r="160" spans="1:11">
      <c r="A160" s="185"/>
      <c r="B160" s="185"/>
      <c r="C160" s="185"/>
      <c r="D160" s="185"/>
      <c r="E160" s="185"/>
      <c r="F160" s="185"/>
      <c r="G160" s="185"/>
      <c r="H160" s="185"/>
      <c r="I160" s="185"/>
      <c r="J160" s="185"/>
      <c r="K160" s="185"/>
    </row>
    <row r="161" spans="1:11">
      <c r="A161" s="185"/>
      <c r="B161" s="185"/>
      <c r="C161" s="185"/>
      <c r="D161" s="185"/>
      <c r="E161" s="185"/>
      <c r="F161" s="185"/>
      <c r="G161" s="185"/>
      <c r="H161" s="185"/>
      <c r="I161" s="185"/>
      <c r="J161" s="185"/>
      <c r="K161" s="185"/>
    </row>
    <row r="162" spans="1:11">
      <c r="A162" s="185"/>
      <c r="B162" s="185"/>
      <c r="C162" s="185"/>
      <c r="D162" s="185"/>
      <c r="E162" s="185"/>
      <c r="F162" s="185"/>
      <c r="G162" s="185"/>
      <c r="H162" s="185"/>
      <c r="I162" s="185"/>
      <c r="J162" s="185"/>
      <c r="K162" s="185"/>
    </row>
    <row r="163" spans="1:11">
      <c r="A163" s="185"/>
      <c r="B163" s="185"/>
      <c r="C163" s="185"/>
      <c r="D163" s="185"/>
      <c r="E163" s="185"/>
      <c r="F163" s="185"/>
      <c r="G163" s="185"/>
      <c r="H163" s="185"/>
      <c r="I163" s="185"/>
      <c r="J163" s="185"/>
      <c r="K163" s="185"/>
    </row>
    <row r="164" spans="1:11">
      <c r="A164" s="185"/>
      <c r="B164" s="185"/>
      <c r="C164" s="185"/>
      <c r="D164" s="185"/>
      <c r="E164" s="185"/>
      <c r="F164" s="185"/>
      <c r="G164" s="185"/>
      <c r="H164" s="185"/>
      <c r="I164" s="185"/>
      <c r="J164" s="185"/>
      <c r="K164" s="185"/>
    </row>
    <row r="165" spans="1:11">
      <c r="A165" s="185"/>
      <c r="B165" s="185"/>
      <c r="C165" s="185"/>
      <c r="D165" s="185"/>
      <c r="E165" s="185"/>
      <c r="F165" s="185"/>
      <c r="G165" s="185"/>
      <c r="H165" s="185"/>
      <c r="I165" s="185"/>
      <c r="J165" s="185"/>
      <c r="K165" s="185"/>
    </row>
    <row r="166" spans="1:11">
      <c r="A166" s="185"/>
      <c r="B166" s="185"/>
      <c r="C166" s="185"/>
      <c r="D166" s="185"/>
      <c r="E166" s="185"/>
      <c r="F166" s="185"/>
      <c r="G166" s="185"/>
      <c r="H166" s="185"/>
      <c r="I166" s="185"/>
      <c r="J166" s="185"/>
      <c r="K166" s="185"/>
    </row>
    <row r="167" spans="1:11">
      <c r="A167" s="185"/>
      <c r="B167" s="185"/>
      <c r="C167" s="185"/>
      <c r="D167" s="185"/>
      <c r="E167" s="185"/>
      <c r="F167" s="185"/>
      <c r="G167" s="185"/>
      <c r="H167" s="185"/>
      <c r="I167" s="185"/>
      <c r="J167" s="185"/>
      <c r="K167" s="185"/>
    </row>
    <row r="168" spans="1:11">
      <c r="A168" s="185"/>
      <c r="B168" s="185"/>
      <c r="C168" s="185"/>
      <c r="D168" s="185"/>
      <c r="E168" s="185"/>
      <c r="F168" s="185"/>
      <c r="G168" s="185"/>
      <c r="H168" s="185"/>
      <c r="I168" s="185"/>
      <c r="J168" s="185"/>
      <c r="K168" s="185"/>
    </row>
    <row r="169" spans="1:11">
      <c r="A169" s="185"/>
      <c r="B169" s="185"/>
      <c r="C169" s="185"/>
      <c r="D169" s="185"/>
      <c r="E169" s="185"/>
      <c r="F169" s="185"/>
      <c r="G169" s="185"/>
      <c r="H169" s="185"/>
      <c r="I169" s="185"/>
      <c r="J169" s="185"/>
      <c r="K169" s="185"/>
    </row>
    <row r="170" spans="1:11">
      <c r="A170" s="185"/>
      <c r="B170" s="185"/>
      <c r="C170" s="185"/>
      <c r="D170" s="185"/>
      <c r="E170" s="185"/>
      <c r="F170" s="185"/>
      <c r="G170" s="185"/>
      <c r="H170" s="185"/>
      <c r="I170" s="185"/>
      <c r="J170" s="185"/>
      <c r="K170" s="185"/>
    </row>
    <row r="171" spans="1:11">
      <c r="A171" s="185"/>
      <c r="B171" s="185"/>
      <c r="C171" s="185"/>
      <c r="D171" s="185"/>
      <c r="E171" s="185"/>
      <c r="F171" s="185"/>
      <c r="G171" s="185"/>
      <c r="H171" s="185"/>
      <c r="I171" s="185"/>
      <c r="J171" s="185"/>
      <c r="K171" s="185"/>
    </row>
    <row r="172" spans="1:11">
      <c r="A172" s="185"/>
      <c r="B172" s="185"/>
      <c r="C172" s="185"/>
      <c r="D172" s="185"/>
      <c r="E172" s="185"/>
      <c r="F172" s="185"/>
      <c r="G172" s="185"/>
      <c r="H172" s="185"/>
      <c r="I172" s="185"/>
      <c r="J172" s="185"/>
      <c r="K172" s="185"/>
    </row>
    <row r="173" spans="1:11">
      <c r="A173" s="185"/>
      <c r="B173" s="185"/>
      <c r="C173" s="185"/>
      <c r="D173" s="185"/>
      <c r="E173" s="185"/>
      <c r="F173" s="185"/>
      <c r="G173" s="185"/>
      <c r="H173" s="185"/>
      <c r="I173" s="185"/>
      <c r="J173" s="185"/>
      <c r="K173" s="185"/>
    </row>
    <row r="174" spans="1:11">
      <c r="A174" s="185"/>
      <c r="B174" s="185"/>
      <c r="C174" s="185"/>
      <c r="D174" s="185"/>
      <c r="E174" s="185"/>
      <c r="F174" s="185"/>
      <c r="G174" s="185"/>
      <c r="H174" s="185"/>
      <c r="I174" s="185"/>
      <c r="J174" s="185"/>
      <c r="K174" s="185"/>
    </row>
    <row r="175" spans="1:11">
      <c r="A175" s="185"/>
      <c r="B175" s="185"/>
      <c r="C175" s="185"/>
      <c r="D175" s="185"/>
      <c r="E175" s="185"/>
      <c r="F175" s="185"/>
      <c r="G175" s="185"/>
      <c r="H175" s="185"/>
      <c r="I175" s="185"/>
      <c r="J175" s="185"/>
      <c r="K175" s="185"/>
    </row>
    <row r="176" spans="1:11">
      <c r="A176" s="185"/>
      <c r="B176" s="185"/>
      <c r="C176" s="185"/>
      <c r="D176" s="185"/>
      <c r="E176" s="185"/>
      <c r="F176" s="185"/>
      <c r="G176" s="185"/>
      <c r="H176" s="185"/>
      <c r="I176" s="185"/>
      <c r="J176" s="185"/>
      <c r="K176" s="185"/>
    </row>
    <row r="177" spans="1:11">
      <c r="A177" s="185"/>
      <c r="B177" s="185"/>
      <c r="C177" s="185"/>
      <c r="D177" s="185"/>
      <c r="E177" s="185"/>
      <c r="F177" s="185"/>
      <c r="G177" s="185"/>
      <c r="H177" s="185"/>
      <c r="I177" s="185"/>
      <c r="J177" s="185"/>
      <c r="K177" s="185"/>
    </row>
    <row r="178" spans="1:11">
      <c r="A178" s="185"/>
      <c r="B178" s="185"/>
      <c r="C178" s="185"/>
      <c r="D178" s="185"/>
      <c r="E178" s="185"/>
      <c r="F178" s="185"/>
      <c r="G178" s="185"/>
      <c r="H178" s="185"/>
      <c r="I178" s="185"/>
      <c r="J178" s="185"/>
      <c r="K178" s="185"/>
    </row>
    <row r="179" spans="1:11">
      <c r="A179" s="185"/>
      <c r="B179" s="185"/>
      <c r="C179" s="185"/>
      <c r="D179" s="185"/>
      <c r="E179" s="185"/>
      <c r="F179" s="185"/>
      <c r="G179" s="185"/>
      <c r="H179" s="185"/>
      <c r="I179" s="185"/>
      <c r="J179" s="185"/>
      <c r="K179" s="185"/>
    </row>
    <row r="180" spans="1:11">
      <c r="A180" s="185"/>
      <c r="B180" s="185"/>
      <c r="C180" s="185"/>
      <c r="D180" s="185"/>
      <c r="E180" s="185"/>
      <c r="F180" s="185"/>
      <c r="G180" s="185"/>
      <c r="H180" s="185"/>
      <c r="I180" s="185"/>
      <c r="J180" s="185"/>
      <c r="K180" s="185"/>
    </row>
    <row r="181" spans="1:11">
      <c r="A181" s="185"/>
      <c r="B181" s="185"/>
      <c r="C181" s="185"/>
      <c r="D181" s="185"/>
      <c r="E181" s="185"/>
      <c r="F181" s="185"/>
      <c r="G181" s="185"/>
      <c r="H181" s="185"/>
      <c r="I181" s="185"/>
      <c r="J181" s="185"/>
      <c r="K181" s="185"/>
    </row>
    <row r="182" spans="1:11">
      <c r="A182" s="185"/>
      <c r="B182" s="185"/>
      <c r="C182" s="185"/>
      <c r="D182" s="185"/>
      <c r="E182" s="185"/>
      <c r="F182" s="185"/>
      <c r="G182" s="185"/>
      <c r="H182" s="185"/>
      <c r="I182" s="185"/>
      <c r="J182" s="185"/>
      <c r="K182" s="185"/>
    </row>
    <row r="183" spans="1:11">
      <c r="A183" s="185"/>
      <c r="B183" s="185"/>
      <c r="C183" s="185"/>
      <c r="D183" s="185"/>
      <c r="E183" s="185"/>
      <c r="F183" s="185"/>
      <c r="G183" s="185"/>
      <c r="H183" s="185"/>
      <c r="I183" s="185"/>
      <c r="J183" s="185"/>
      <c r="K183" s="185"/>
    </row>
    <row r="184" spans="1:11">
      <c r="A184" s="185"/>
      <c r="B184" s="185"/>
      <c r="C184" s="185"/>
      <c r="D184" s="185"/>
      <c r="E184" s="185"/>
      <c r="F184" s="185"/>
      <c r="G184" s="185"/>
      <c r="H184" s="185"/>
      <c r="I184" s="185"/>
      <c r="J184" s="185"/>
      <c r="K184" s="185"/>
    </row>
    <row r="185" spans="1:11">
      <c r="A185" s="185"/>
      <c r="B185" s="185"/>
      <c r="C185" s="185"/>
      <c r="D185" s="185"/>
      <c r="E185" s="185"/>
      <c r="F185" s="185"/>
      <c r="G185" s="185"/>
      <c r="H185" s="185"/>
      <c r="I185" s="185"/>
      <c r="J185" s="185"/>
      <c r="K185" s="185"/>
    </row>
    <row r="186" spans="1:11">
      <c r="A186" s="185"/>
      <c r="B186" s="185"/>
      <c r="C186" s="185"/>
      <c r="D186" s="185"/>
      <c r="E186" s="185"/>
      <c r="F186" s="185"/>
      <c r="G186" s="185"/>
      <c r="H186" s="185"/>
      <c r="I186" s="185"/>
      <c r="J186" s="185"/>
      <c r="K186" s="185"/>
    </row>
    <row r="187" spans="1:11">
      <c r="A187" s="185"/>
      <c r="B187" s="185"/>
      <c r="C187" s="185"/>
      <c r="D187" s="185"/>
      <c r="E187" s="185"/>
      <c r="F187" s="185"/>
      <c r="G187" s="185"/>
      <c r="H187" s="185"/>
      <c r="I187" s="185"/>
      <c r="J187" s="185"/>
      <c r="K187" s="185"/>
    </row>
    <row r="188" spans="1:11">
      <c r="A188" s="185"/>
      <c r="B188" s="185"/>
      <c r="C188" s="185"/>
      <c r="D188" s="185"/>
      <c r="E188" s="185"/>
      <c r="F188" s="185"/>
      <c r="G188" s="185"/>
      <c r="H188" s="185"/>
      <c r="I188" s="185"/>
      <c r="J188" s="185"/>
      <c r="K188" s="185"/>
    </row>
    <row r="189" spans="1:11">
      <c r="A189" s="185"/>
      <c r="B189" s="185"/>
      <c r="C189" s="185"/>
      <c r="D189" s="185"/>
      <c r="E189" s="185"/>
      <c r="F189" s="185"/>
      <c r="G189" s="185"/>
      <c r="H189" s="185"/>
      <c r="I189" s="185"/>
      <c r="J189" s="185"/>
      <c r="K189" s="185"/>
    </row>
    <row r="190" spans="1:11">
      <c r="A190" s="185"/>
      <c r="B190" s="185"/>
      <c r="C190" s="185"/>
      <c r="D190" s="185"/>
      <c r="E190" s="185"/>
      <c r="F190" s="185"/>
      <c r="G190" s="185"/>
      <c r="H190" s="185"/>
      <c r="I190" s="185"/>
      <c r="J190" s="185"/>
      <c r="K190" s="185"/>
    </row>
    <row r="191" spans="1:11">
      <c r="A191" s="185"/>
      <c r="B191" s="185"/>
      <c r="C191" s="185"/>
      <c r="D191" s="185"/>
      <c r="E191" s="185"/>
      <c r="F191" s="185"/>
      <c r="G191" s="185"/>
      <c r="H191" s="185"/>
      <c r="I191" s="185"/>
      <c r="J191" s="185"/>
      <c r="K191" s="185"/>
    </row>
    <row r="192" spans="1:11">
      <c r="A192" s="185"/>
      <c r="B192" s="185"/>
      <c r="C192" s="185"/>
      <c r="D192" s="185"/>
      <c r="E192" s="185"/>
      <c r="F192" s="185"/>
      <c r="G192" s="185"/>
      <c r="H192" s="185"/>
      <c r="I192" s="185"/>
      <c r="J192" s="185"/>
      <c r="K192" s="185"/>
    </row>
    <row r="193" spans="1:11">
      <c r="A193" s="185"/>
      <c r="B193" s="185"/>
      <c r="C193" s="185"/>
      <c r="D193" s="185"/>
      <c r="E193" s="185"/>
      <c r="F193" s="185"/>
      <c r="G193" s="185"/>
      <c r="H193" s="185"/>
      <c r="I193" s="185"/>
      <c r="J193" s="185"/>
      <c r="K193" s="185"/>
    </row>
  </sheetData>
  <mergeCells count="2">
    <mergeCell ref="C3:H3"/>
    <mergeCell ref="C5:H5"/>
  </mergeCells>
  <printOptions horizontalCentered="1"/>
  <pageMargins left="0.25" right="0.25" top="0.5" bottom="0" header="0" footer="0"/>
  <pageSetup scale="69" orientation="portrait" blackAndWhite="1" r:id="rId1"/>
  <headerFooter alignWithMargins="0"/>
  <legacyDrawing r:id="rId2"/>
</worksheet>
</file>

<file path=xl/worksheets/sheet28.xml><?xml version="1.0" encoding="utf-8"?>
<worksheet xmlns="http://schemas.openxmlformats.org/spreadsheetml/2006/main" xmlns:r="http://schemas.openxmlformats.org/officeDocument/2006/relationships">
  <sheetPr codeName="Sheet10">
    <pageSetUpPr fitToPage="1"/>
  </sheetPr>
  <dimension ref="A1:M282"/>
  <sheetViews>
    <sheetView showGridLines="0" topLeftCell="A10" zoomScale="85" zoomScaleNormal="85" workbookViewId="0">
      <selection activeCell="I27" sqref="I27"/>
    </sheetView>
  </sheetViews>
  <sheetFormatPr defaultColWidth="8.85546875" defaultRowHeight="12.75"/>
  <cols>
    <col min="1" max="1" width="8.85546875" style="28"/>
    <col min="2" max="2" width="9.140625" style="28" customWidth="1"/>
    <col min="3" max="3" width="30.85546875" style="28" customWidth="1"/>
    <col min="4" max="4" width="14.140625" style="137" customWidth="1"/>
    <col min="5" max="9" width="14.7109375" style="137" customWidth="1"/>
    <col min="10" max="10" width="8.85546875" style="28"/>
    <col min="11" max="11" width="10.85546875" style="28" bestFit="1" customWidth="1"/>
    <col min="12" max="12" width="8.85546875" style="28"/>
    <col min="13" max="13" width="8.85546875" style="38"/>
    <col min="14" max="16384" width="8.85546875" style="28"/>
  </cols>
  <sheetData>
    <row r="1" spans="1:13" s="91" customFormat="1">
      <c r="A1" s="185"/>
      <c r="B1" s="714" t="str">
        <f>TestYear &amp; " Test Year"</f>
        <v>2015 Test Year</v>
      </c>
      <c r="C1" s="671"/>
      <c r="D1" s="1153"/>
      <c r="E1" s="1153"/>
      <c r="F1" s="1153"/>
      <c r="G1" s="1153"/>
      <c r="H1" s="1153"/>
      <c r="I1" s="1352"/>
      <c r="J1" s="1352" t="s">
        <v>729</v>
      </c>
      <c r="K1" s="185"/>
      <c r="L1" s="185"/>
      <c r="M1" s="134"/>
    </row>
    <row r="2" spans="1:13" s="91" customFormat="1">
      <c r="A2" s="185"/>
      <c r="B2" s="671"/>
      <c r="C2" s="671"/>
      <c r="D2" s="1153"/>
      <c r="E2" s="1153"/>
      <c r="F2" s="1153"/>
      <c r="G2" s="1153"/>
      <c r="H2" s="1153"/>
      <c r="I2" s="1153"/>
      <c r="J2" s="185"/>
      <c r="K2" s="185"/>
      <c r="L2" s="185"/>
      <c r="M2" s="134"/>
    </row>
    <row r="3" spans="1:13" s="91" customFormat="1">
      <c r="A3" s="185"/>
      <c r="B3" s="822"/>
      <c r="C3" s="2052" t="str">
        <f>Utility</f>
        <v>MADISON WATER UTILITY</v>
      </c>
      <c r="D3" s="2052"/>
      <c r="E3" s="2052"/>
      <c r="F3" s="2052"/>
      <c r="G3" s="2052"/>
      <c r="H3" s="2052"/>
      <c r="I3" s="2052"/>
      <c r="J3" s="185"/>
      <c r="K3" s="185"/>
      <c r="L3" s="185"/>
      <c r="M3" s="134"/>
    </row>
    <row r="4" spans="1:13" s="91" customFormat="1">
      <c r="A4" s="185"/>
      <c r="B4" s="1002"/>
      <c r="C4" s="2054" t="s">
        <v>730</v>
      </c>
      <c r="D4" s="2054"/>
      <c r="E4" s="2054"/>
      <c r="F4" s="2054"/>
      <c r="G4" s="2054"/>
      <c r="H4" s="2054"/>
      <c r="I4" s="2054"/>
      <c r="J4" s="185"/>
      <c r="K4" s="185"/>
      <c r="L4" s="185"/>
      <c r="M4" s="134"/>
    </row>
    <row r="5" spans="1:13" s="91" customFormat="1" ht="13.5" thickBot="1">
      <c r="A5" s="185"/>
      <c r="B5" s="1353"/>
      <c r="C5" s="1354"/>
      <c r="D5" s="1355"/>
      <c r="E5" s="1355"/>
      <c r="F5" s="1355"/>
      <c r="G5" s="1355"/>
      <c r="H5" s="1355"/>
      <c r="I5" s="1356"/>
      <c r="J5" s="185"/>
      <c r="K5" s="185"/>
      <c r="L5" s="185"/>
      <c r="M5" s="134"/>
    </row>
    <row r="6" spans="1:13" ht="13.5" thickTop="1">
      <c r="A6" s="460"/>
      <c r="B6" s="1390"/>
      <c r="C6" s="1391"/>
      <c r="D6" s="1392"/>
      <c r="E6" s="1392"/>
      <c r="F6" s="1392"/>
      <c r="G6" s="1392"/>
      <c r="H6" s="1392"/>
      <c r="I6" s="1392"/>
      <c r="J6" s="500"/>
      <c r="K6" s="460"/>
      <c r="L6" s="460"/>
    </row>
    <row r="7" spans="1:13" ht="15">
      <c r="A7" s="460"/>
      <c r="B7" s="1393" t="s">
        <v>731</v>
      </c>
      <c r="C7" s="520"/>
      <c r="D7" s="1363"/>
      <c r="E7" s="1363"/>
      <c r="F7" s="1363"/>
      <c r="G7" s="1363"/>
      <c r="H7" s="1363"/>
      <c r="I7" s="1357"/>
      <c r="J7" s="501"/>
      <c r="K7" s="460"/>
      <c r="L7" s="460"/>
    </row>
    <row r="8" spans="1:13" ht="15">
      <c r="A8" s="460"/>
      <c r="B8" s="1394"/>
      <c r="C8" s="1362"/>
      <c r="D8" s="1364"/>
      <c r="E8" s="1359"/>
      <c r="F8" s="1365" t="str">
        <f>Data!H5</f>
        <v>Estimated</v>
      </c>
      <c r="G8" s="1359"/>
      <c r="H8" s="1365" t="s">
        <v>396</v>
      </c>
      <c r="I8" s="1358"/>
      <c r="J8" s="501"/>
      <c r="K8" s="460"/>
      <c r="L8" s="460"/>
    </row>
    <row r="9" spans="1:13" ht="15">
      <c r="A9" s="460"/>
      <c r="B9" s="1394"/>
      <c r="C9" s="1366" t="s">
        <v>398</v>
      </c>
      <c r="D9" s="1364"/>
      <c r="E9" s="1359"/>
      <c r="F9" s="1367">
        <f>TestYear -1</f>
        <v>2014</v>
      </c>
      <c r="G9" s="1359"/>
      <c r="H9" s="1368">
        <f>TestYear</f>
        <v>2015</v>
      </c>
      <c r="I9" s="1358"/>
      <c r="J9" s="501"/>
      <c r="K9" s="460"/>
      <c r="L9" s="460"/>
    </row>
    <row r="10" spans="1:13" ht="14.25">
      <c r="A10" s="460"/>
      <c r="B10" s="1394"/>
      <c r="C10" s="520"/>
      <c r="D10" s="1363"/>
      <c r="E10" s="1359"/>
      <c r="F10" s="1363"/>
      <c r="G10" s="1359"/>
      <c r="H10" s="1363"/>
      <c r="I10" s="1357"/>
      <c r="J10" s="501"/>
      <c r="K10" s="460"/>
      <c r="L10" s="460"/>
    </row>
    <row r="11" spans="1:13" ht="15">
      <c r="A11" s="460"/>
      <c r="B11" s="512"/>
      <c r="C11" s="970" t="s">
        <v>732</v>
      </c>
      <c r="D11" s="1369"/>
      <c r="E11" s="1359"/>
      <c r="F11" s="1370">
        <f>Attach11a!E89</f>
        <v>1535807</v>
      </c>
      <c r="G11" s="1359"/>
      <c r="H11" s="1370">
        <f>Attach11a!K89</f>
        <v>1535807</v>
      </c>
      <c r="I11" s="1359"/>
      <c r="J11" s="501"/>
      <c r="K11" s="460"/>
      <c r="L11" s="460"/>
    </row>
    <row r="12" spans="1:13" ht="15">
      <c r="A12" s="460"/>
      <c r="B12" s="512"/>
      <c r="C12" s="970" t="s">
        <v>733</v>
      </c>
      <c r="D12" s="1369"/>
      <c r="E12" s="1359"/>
      <c r="F12" s="1371"/>
      <c r="G12" s="1359"/>
      <c r="H12" s="1371"/>
      <c r="I12" s="1359"/>
      <c r="J12" s="501"/>
      <c r="K12" s="460"/>
      <c r="L12" s="460"/>
    </row>
    <row r="13" spans="1:13" ht="15">
      <c r="A13" s="460"/>
      <c r="B13" s="512"/>
      <c r="C13" s="970" t="s">
        <v>734</v>
      </c>
      <c r="D13" s="1369"/>
      <c r="E13" s="1359"/>
      <c r="F13" s="1371"/>
      <c r="G13" s="1359"/>
      <c r="H13" s="1371"/>
      <c r="I13" s="1359"/>
      <c r="J13" s="501"/>
      <c r="K13" s="460"/>
      <c r="L13" s="460"/>
    </row>
    <row r="14" spans="1:13" ht="15">
      <c r="A14" s="460"/>
      <c r="B14" s="512"/>
      <c r="C14" s="970" t="s">
        <v>735</v>
      </c>
      <c r="D14" s="1369"/>
      <c r="E14" s="1359"/>
      <c r="F14" s="1371"/>
      <c r="G14" s="1359"/>
      <c r="H14" s="1371"/>
      <c r="I14" s="1359"/>
      <c r="J14" s="501"/>
      <c r="K14" s="460"/>
      <c r="L14" s="460"/>
    </row>
    <row r="15" spans="1:13" ht="15">
      <c r="A15" s="460"/>
      <c r="B15" s="512"/>
      <c r="C15" s="970" t="s">
        <v>736</v>
      </c>
      <c r="D15" s="1369"/>
      <c r="E15" s="1359"/>
      <c r="F15" s="1371"/>
      <c r="G15" s="1359"/>
      <c r="H15" s="1371"/>
      <c r="I15" s="1359"/>
      <c r="J15" s="501"/>
      <c r="K15" s="460"/>
      <c r="L15" s="460"/>
    </row>
    <row r="16" spans="1:13" ht="15">
      <c r="A16" s="460"/>
      <c r="B16" s="512"/>
      <c r="C16" s="970" t="s">
        <v>737</v>
      </c>
      <c r="D16" s="1369"/>
      <c r="E16" s="1359"/>
      <c r="F16" s="1371"/>
      <c r="G16" s="1359"/>
      <c r="H16" s="1371"/>
      <c r="I16" s="1359"/>
      <c r="J16" s="501"/>
      <c r="K16" s="460"/>
      <c r="L16" s="460"/>
    </row>
    <row r="17" spans="1:13" ht="15">
      <c r="A17" s="460"/>
      <c r="B17" s="512"/>
      <c r="C17" s="970" t="s">
        <v>738</v>
      </c>
      <c r="D17" s="1369"/>
      <c r="E17" s="1359"/>
      <c r="F17" s="1371"/>
      <c r="G17" s="1359"/>
      <c r="H17" s="1371"/>
      <c r="I17" s="1359"/>
      <c r="J17" s="501"/>
      <c r="K17" s="460"/>
      <c r="L17" s="460"/>
    </row>
    <row r="18" spans="1:13" ht="15">
      <c r="A18" s="460"/>
      <c r="B18" s="512"/>
      <c r="C18" s="970" t="s">
        <v>739</v>
      </c>
      <c r="D18" s="1369"/>
      <c r="E18" s="1359"/>
      <c r="F18" s="1371">
        <f>18833920+10709133</f>
        <v>29543053</v>
      </c>
      <c r="G18" s="1359"/>
      <c r="H18" s="1371">
        <f>7583000+5278017</f>
        <v>12861017</v>
      </c>
      <c r="I18" s="1359"/>
      <c r="J18" s="501"/>
      <c r="K18" s="460"/>
      <c r="L18" s="460"/>
    </row>
    <row r="19" spans="1:13" ht="15">
      <c r="A19" s="460"/>
      <c r="B19" s="512"/>
      <c r="C19" s="970" t="s">
        <v>740</v>
      </c>
      <c r="D19" s="1369"/>
      <c r="E19" s="1359"/>
      <c r="F19" s="1371"/>
      <c r="G19" s="1359"/>
      <c r="H19" s="1371"/>
      <c r="I19" s="1359"/>
      <c r="J19" s="501"/>
      <c r="K19" s="460"/>
      <c r="L19" s="460"/>
    </row>
    <row r="20" spans="1:13" ht="15">
      <c r="A20" s="460"/>
      <c r="B20" s="512"/>
      <c r="C20" s="970" t="s">
        <v>741</v>
      </c>
      <c r="D20" s="1369"/>
      <c r="E20" s="1359"/>
      <c r="F20" s="1371"/>
      <c r="G20" s="1359"/>
      <c r="H20" s="1371"/>
      <c r="I20" s="1359"/>
      <c r="J20" s="501"/>
      <c r="K20" s="460"/>
      <c r="L20" s="460"/>
    </row>
    <row r="21" spans="1:13" ht="15">
      <c r="A21" s="460"/>
      <c r="B21" s="512"/>
      <c r="C21" s="970" t="s">
        <v>742</v>
      </c>
      <c r="D21" s="1369"/>
      <c r="E21" s="1359"/>
      <c r="F21" s="1371"/>
      <c r="G21" s="1359"/>
      <c r="H21" s="1371"/>
      <c r="I21" s="1359"/>
      <c r="J21" s="501"/>
      <c r="K21" s="460"/>
      <c r="L21" s="460"/>
    </row>
    <row r="22" spans="1:13" ht="14.25">
      <c r="A22" s="460"/>
      <c r="B22" s="512"/>
      <c r="C22" s="519"/>
      <c r="D22" s="1369"/>
      <c r="E22" s="1369"/>
      <c r="F22" s="1369"/>
      <c r="G22" s="1369"/>
      <c r="H22" s="1369"/>
      <c r="I22" s="1359"/>
      <c r="J22" s="501"/>
      <c r="K22" s="460"/>
      <c r="L22" s="460"/>
    </row>
    <row r="23" spans="1:13" ht="14.25">
      <c r="A23" s="460"/>
      <c r="B23" s="512"/>
      <c r="C23" s="519"/>
      <c r="D23" s="1369"/>
      <c r="E23" s="1369"/>
      <c r="F23" s="1369"/>
      <c r="G23" s="1369"/>
      <c r="H23" s="1369"/>
      <c r="I23" s="1359"/>
      <c r="J23" s="501"/>
      <c r="K23" s="460"/>
      <c r="L23" s="460"/>
    </row>
    <row r="24" spans="1:13" ht="14.25">
      <c r="A24" s="460"/>
      <c r="B24" s="512"/>
      <c r="C24" s="519"/>
      <c r="D24" s="1369"/>
      <c r="E24" s="1369"/>
      <c r="F24" s="1369"/>
      <c r="G24" s="1369"/>
      <c r="H24" s="1369"/>
      <c r="I24" s="1359"/>
      <c r="J24" s="501"/>
      <c r="K24" s="460"/>
      <c r="L24" s="460"/>
    </row>
    <row r="25" spans="1:13" s="122" customFormat="1" ht="15">
      <c r="A25" s="462"/>
      <c r="B25" s="1395"/>
      <c r="C25" s="970" t="s">
        <v>253</v>
      </c>
      <c r="D25" s="1372"/>
      <c r="E25" s="1360"/>
      <c r="F25" s="1373">
        <f>SUM(F10:F24)</f>
        <v>31078860</v>
      </c>
      <c r="G25" s="1360"/>
      <c r="H25" s="1373">
        <f>SUM(H10:H24)</f>
        <v>14396824</v>
      </c>
      <c r="I25" s="1361"/>
      <c r="J25" s="1396"/>
      <c r="K25" s="462"/>
      <c r="L25" s="462"/>
      <c r="M25" s="126"/>
    </row>
    <row r="26" spans="1:13" ht="14.25">
      <c r="A26" s="460"/>
      <c r="B26" s="512"/>
      <c r="C26" s="519"/>
      <c r="D26" s="1369"/>
      <c r="E26" s="1369"/>
      <c r="F26" s="1369"/>
      <c r="G26" s="1369"/>
      <c r="H26" s="1369"/>
      <c r="I26" s="1359"/>
      <c r="J26" s="501"/>
      <c r="K26" s="460"/>
      <c r="L26" s="460"/>
    </row>
    <row r="27" spans="1:13" ht="14.25">
      <c r="A27" s="460"/>
      <c r="B27" s="512"/>
      <c r="C27" s="519"/>
      <c r="D27" s="1369"/>
      <c r="E27" s="1369"/>
      <c r="F27" s="1369"/>
      <c r="G27" s="1369"/>
      <c r="H27" s="1369"/>
      <c r="I27" s="1359"/>
      <c r="J27" s="501"/>
      <c r="K27" s="460"/>
      <c r="L27" s="460"/>
    </row>
    <row r="28" spans="1:13" ht="14.25">
      <c r="A28" s="460"/>
      <c r="B28" s="512"/>
      <c r="C28" s="519"/>
      <c r="D28" s="1369"/>
      <c r="E28" s="1369"/>
      <c r="F28" s="1369"/>
      <c r="G28" s="1369"/>
      <c r="H28" s="1369"/>
      <c r="I28" s="1359"/>
      <c r="J28" s="501"/>
      <c r="K28" s="460"/>
      <c r="L28" s="460"/>
    </row>
    <row r="29" spans="1:13" ht="13.5" thickBot="1">
      <c r="A29" s="460"/>
      <c r="B29" s="550"/>
      <c r="C29" s="551"/>
      <c r="D29" s="1397"/>
      <c r="E29" s="1397"/>
      <c r="F29" s="1397"/>
      <c r="G29" s="1397"/>
      <c r="H29" s="1397"/>
      <c r="I29" s="1397"/>
      <c r="J29" s="508"/>
      <c r="K29" s="460"/>
      <c r="L29" s="460"/>
    </row>
    <row r="30" spans="1:13" ht="13.5" thickTop="1">
      <c r="A30" s="460"/>
      <c r="B30" s="467"/>
      <c r="C30" s="467"/>
      <c r="D30" s="1345"/>
      <c r="E30" s="1345"/>
      <c r="F30" s="1345"/>
      <c r="G30" s="1345"/>
      <c r="H30" s="1343"/>
      <c r="I30" s="1343"/>
      <c r="J30" s="460"/>
      <c r="K30" s="460"/>
      <c r="L30" s="460"/>
    </row>
    <row r="31" spans="1:13" s="122" customFormat="1">
      <c r="A31" s="462"/>
      <c r="B31" s="1177" t="s">
        <v>743</v>
      </c>
      <c r="C31" s="1376"/>
      <c r="D31" s="1346"/>
      <c r="E31" s="1346"/>
      <c r="F31" s="1346"/>
      <c r="G31" s="1346"/>
      <c r="H31" s="1344"/>
      <c r="I31" s="1344"/>
      <c r="J31" s="462"/>
      <c r="K31" s="462"/>
      <c r="L31" s="462"/>
      <c r="M31" s="126"/>
    </row>
    <row r="32" spans="1:13" s="122" customFormat="1">
      <c r="A32" s="462"/>
      <c r="B32" s="1347" t="s">
        <v>55</v>
      </c>
      <c r="C32" s="1348" t="s">
        <v>128</v>
      </c>
      <c r="D32" s="1349"/>
      <c r="E32" s="1349"/>
      <c r="F32" s="1349"/>
      <c r="G32" s="1349"/>
      <c r="H32" s="1350"/>
      <c r="I32" s="1350"/>
      <c r="J32" s="462"/>
      <c r="K32" s="462"/>
      <c r="L32" s="462"/>
      <c r="M32" s="126"/>
    </row>
    <row r="33" spans="1:13" s="122" customFormat="1">
      <c r="A33" s="462"/>
      <c r="B33" s="1347"/>
      <c r="C33" s="1351" t="s">
        <v>129</v>
      </c>
      <c r="D33" s="1346"/>
      <c r="E33" s="1346"/>
      <c r="F33" s="1346"/>
      <c r="G33" s="1346"/>
      <c r="H33" s="1344"/>
      <c r="I33" s="1344"/>
      <c r="J33" s="462"/>
      <c r="K33" s="462"/>
      <c r="L33" s="462"/>
      <c r="M33" s="126"/>
    </row>
    <row r="34" spans="1:13" s="122" customFormat="1">
      <c r="A34" s="462"/>
      <c r="B34" s="1347"/>
      <c r="C34" s="1351" t="s">
        <v>744</v>
      </c>
      <c r="D34" s="1346"/>
      <c r="E34" s="1346"/>
      <c r="F34" s="1346"/>
      <c r="G34" s="1346"/>
      <c r="H34" s="1344"/>
      <c r="I34" s="1344"/>
      <c r="J34" s="462"/>
      <c r="K34" s="462"/>
      <c r="L34" s="462"/>
      <c r="M34" s="126"/>
    </row>
    <row r="35" spans="1:13" s="122" customFormat="1">
      <c r="A35" s="462"/>
      <c r="B35" s="1347"/>
      <c r="C35" s="1351" t="s">
        <v>745</v>
      </c>
      <c r="D35" s="1346"/>
      <c r="E35" s="1346"/>
      <c r="F35" s="1346"/>
      <c r="G35" s="1346"/>
      <c r="H35" s="1344"/>
      <c r="I35" s="1344"/>
      <c r="J35" s="462"/>
      <c r="K35" s="462"/>
      <c r="L35" s="462"/>
      <c r="M35" s="126"/>
    </row>
    <row r="36" spans="1:13" s="122" customFormat="1">
      <c r="A36" s="462"/>
      <c r="B36" s="1347"/>
      <c r="C36" s="1351" t="s">
        <v>746</v>
      </c>
      <c r="D36" s="1346"/>
      <c r="E36" s="1346"/>
      <c r="F36" s="1346"/>
      <c r="G36" s="1346"/>
      <c r="H36" s="1344"/>
      <c r="I36" s="1344"/>
      <c r="J36" s="462"/>
      <c r="K36" s="462"/>
      <c r="L36" s="462"/>
      <c r="M36" s="126"/>
    </row>
    <row r="37" spans="1:13" s="122" customFormat="1">
      <c r="A37" s="462"/>
      <c r="B37" s="1347"/>
      <c r="C37" s="1351" t="s">
        <v>747</v>
      </c>
      <c r="D37" s="1346"/>
      <c r="E37" s="1346"/>
      <c r="F37" s="1346"/>
      <c r="G37" s="1346"/>
      <c r="H37" s="1344"/>
      <c r="I37" s="1344"/>
      <c r="J37" s="462"/>
      <c r="K37" s="462"/>
      <c r="L37" s="462"/>
      <c r="M37" s="126"/>
    </row>
    <row r="38" spans="1:13" s="122" customFormat="1" ht="13.5" thickBot="1">
      <c r="A38" s="462"/>
      <c r="B38" s="1347" t="s">
        <v>57</v>
      </c>
      <c r="C38" s="1351" t="s">
        <v>101</v>
      </c>
      <c r="D38" s="1346"/>
      <c r="E38" s="1346"/>
      <c r="F38" s="1346"/>
      <c r="G38" s="1346"/>
      <c r="H38" s="1344"/>
      <c r="I38" s="1344"/>
      <c r="J38" s="462"/>
      <c r="K38" s="462"/>
      <c r="L38" s="462"/>
      <c r="M38" s="126"/>
    </row>
    <row r="39" spans="1:13" s="122" customFormat="1" ht="13.5" thickTop="1">
      <c r="A39" s="462"/>
      <c r="B39" s="496"/>
      <c r="C39" s="498"/>
      <c r="D39" s="1383"/>
      <c r="E39" s="1383"/>
      <c r="F39" s="1383"/>
      <c r="G39" s="1383"/>
      <c r="H39" s="1383"/>
      <c r="I39" s="1383"/>
      <c r="J39" s="1384"/>
      <c r="K39" s="462"/>
      <c r="L39" s="462"/>
      <c r="M39" s="126"/>
    </row>
    <row r="40" spans="1:13" s="122" customFormat="1">
      <c r="A40" s="462"/>
      <c r="B40" s="502"/>
      <c r="C40" s="489"/>
      <c r="D40" s="2044" t="str">
        <f>CONCATENATE(Data!H5, " ",TestYear-1)</f>
        <v>Estimated 2014</v>
      </c>
      <c r="E40" s="2053"/>
      <c r="F40" s="2044" t="str">
        <f>CONCATENATE("Estimated ",TestYear)</f>
        <v>Estimated 2015</v>
      </c>
      <c r="G40" s="2053"/>
      <c r="H40" s="2044" t="str">
        <f>CONCATENATE("Estimated ",TestYear+1)</f>
        <v>Estimated 2016</v>
      </c>
      <c r="I40" s="2053"/>
      <c r="J40" s="1100"/>
      <c r="K40" s="462"/>
      <c r="L40" s="462"/>
      <c r="M40" s="126"/>
    </row>
    <row r="41" spans="1:13" s="122" customFormat="1">
      <c r="A41" s="462"/>
      <c r="B41" s="502"/>
      <c r="C41" s="489"/>
      <c r="D41" s="945" t="s">
        <v>348</v>
      </c>
      <c r="E41" s="945" t="s">
        <v>748</v>
      </c>
      <c r="F41" s="945" t="s">
        <v>348</v>
      </c>
      <c r="G41" s="945" t="s">
        <v>748</v>
      </c>
      <c r="H41" s="945" t="s">
        <v>348</v>
      </c>
      <c r="I41" s="945" t="s">
        <v>748</v>
      </c>
      <c r="J41" s="1100"/>
      <c r="K41" s="462"/>
      <c r="L41" s="462"/>
      <c r="M41" s="126"/>
    </row>
    <row r="42" spans="1:13" s="122" customFormat="1">
      <c r="A42" s="462"/>
      <c r="B42" s="502"/>
      <c r="C42" s="489"/>
      <c r="D42" s="1377" t="s">
        <v>749</v>
      </c>
      <c r="E42" s="1378" t="s">
        <v>750</v>
      </c>
      <c r="F42" s="1377" t="s">
        <v>749</v>
      </c>
      <c r="G42" s="1378" t="s">
        <v>750</v>
      </c>
      <c r="H42" s="1377" t="s">
        <v>749</v>
      </c>
      <c r="I42" s="1378" t="s">
        <v>750</v>
      </c>
      <c r="J42" s="1100"/>
      <c r="K42" s="462"/>
      <c r="L42" s="462"/>
      <c r="M42" s="126"/>
    </row>
    <row r="43" spans="1:13" s="122" customFormat="1">
      <c r="A43" s="462"/>
      <c r="B43" s="1385"/>
      <c r="C43" s="1381" t="s">
        <v>398</v>
      </c>
      <c r="D43" s="1379" t="s">
        <v>1000</v>
      </c>
      <c r="E43" s="1380" t="s">
        <v>751</v>
      </c>
      <c r="F43" s="1379" t="s">
        <v>1000</v>
      </c>
      <c r="G43" s="1398" t="str">
        <f>E43</f>
        <v>End of Year</v>
      </c>
      <c r="H43" s="1399" t="s">
        <v>1000</v>
      </c>
      <c r="I43" s="1398" t="str">
        <f>G43</f>
        <v>End of Year</v>
      </c>
      <c r="J43" s="1100"/>
      <c r="K43" s="462"/>
      <c r="L43" s="462"/>
      <c r="M43" s="126"/>
    </row>
    <row r="44" spans="1:13">
      <c r="A44" s="460"/>
      <c r="B44" s="502"/>
      <c r="C44" s="489"/>
      <c r="D44" s="1374"/>
      <c r="E44" s="1374"/>
      <c r="F44" s="1374"/>
      <c r="G44" s="1374"/>
      <c r="H44" s="1374"/>
      <c r="I44" s="1374"/>
      <c r="J44" s="1100"/>
      <c r="K44" s="460"/>
      <c r="L44" s="460"/>
    </row>
    <row r="45" spans="1:13">
      <c r="A45" s="460"/>
      <c r="B45" s="554" t="s">
        <v>1001</v>
      </c>
      <c r="C45" s="489"/>
      <c r="D45" s="1386"/>
      <c r="E45" s="1386"/>
      <c r="F45" s="1386"/>
      <c r="G45" s="1386"/>
      <c r="H45" s="1386"/>
      <c r="I45" s="1386"/>
      <c r="J45" s="1100"/>
      <c r="K45" s="460"/>
      <c r="L45" s="460"/>
    </row>
    <row r="46" spans="1:13">
      <c r="A46" s="460"/>
      <c r="B46" s="502"/>
      <c r="C46" s="489"/>
      <c r="D46" s="1591"/>
      <c r="E46" s="1591"/>
      <c r="F46" s="1591"/>
      <c r="G46" s="1591"/>
      <c r="H46" s="1591"/>
      <c r="I46" s="1591"/>
      <c r="J46" s="1100"/>
      <c r="K46" s="460"/>
      <c r="L46" s="460"/>
    </row>
    <row r="47" spans="1:13">
      <c r="A47" s="460"/>
      <c r="B47" s="502"/>
      <c r="C47" s="1848" t="s">
        <v>1286</v>
      </c>
      <c r="D47" s="1847">
        <f>426500+407200</f>
        <v>833700</v>
      </c>
      <c r="E47" s="1847">
        <f>19645000-965000</f>
        <v>18680000</v>
      </c>
      <c r="F47" s="1847">
        <f>407200+387100</f>
        <v>794300</v>
      </c>
      <c r="G47" s="1847">
        <f>E47-1005000</f>
        <v>17675000</v>
      </c>
      <c r="H47" s="1847">
        <f>387100+366200</f>
        <v>753300</v>
      </c>
      <c r="I47" s="1847">
        <f>G47-1045000</f>
        <v>16630000</v>
      </c>
      <c r="J47" s="1100"/>
      <c r="K47" s="460"/>
      <c r="L47" s="460"/>
    </row>
    <row r="48" spans="1:13">
      <c r="A48" s="460"/>
      <c r="B48" s="502"/>
      <c r="C48" s="1846" t="s">
        <v>1287</v>
      </c>
      <c r="D48" s="1835">
        <f>37000+30200</f>
        <v>67200</v>
      </c>
      <c r="E48" s="1835">
        <f>1510000</f>
        <v>1510000</v>
      </c>
      <c r="F48" s="1835">
        <f>30200+23000</f>
        <v>53200</v>
      </c>
      <c r="G48" s="1835">
        <f>E48-360000</f>
        <v>1150000</v>
      </c>
      <c r="H48" s="1835">
        <f>23000+15600</f>
        <v>38600</v>
      </c>
      <c r="I48" s="1835">
        <f>G48-370000</f>
        <v>780000</v>
      </c>
      <c r="J48" s="1100"/>
      <c r="K48" s="460"/>
      <c r="L48" s="460"/>
    </row>
    <row r="49" spans="1:12">
      <c r="A49" s="460"/>
      <c r="B49" s="502"/>
      <c r="C49" s="1846" t="s">
        <v>1288</v>
      </c>
      <c r="D49" s="1835">
        <f>731653.13+717853.13</f>
        <v>1449506.26</v>
      </c>
      <c r="E49" s="1835">
        <f>32425000</f>
        <v>32425000</v>
      </c>
      <c r="F49" s="1835">
        <f>717853.13+699253.13</f>
        <v>1417106.26</v>
      </c>
      <c r="G49" s="1835">
        <f>E49-930000</f>
        <v>31495000</v>
      </c>
      <c r="H49" s="1835">
        <f>699253.13+674953.13</f>
        <v>1374206.26</v>
      </c>
      <c r="I49" s="1835">
        <f>G49-1215000</f>
        <v>30280000</v>
      </c>
      <c r="J49" s="1100"/>
      <c r="K49" s="460"/>
      <c r="L49" s="460"/>
    </row>
    <row r="50" spans="1:12">
      <c r="A50" s="460"/>
      <c r="B50" s="502"/>
      <c r="C50" s="1846" t="s">
        <v>1289</v>
      </c>
      <c r="D50" s="1835">
        <f>11425+6000</f>
        <v>17425</v>
      </c>
      <c r="E50" s="1835">
        <f>320000</f>
        <v>320000</v>
      </c>
      <c r="F50" s="1835"/>
      <c r="G50" s="1835"/>
      <c r="H50" s="1835"/>
      <c r="I50" s="1835"/>
      <c r="J50" s="1100"/>
      <c r="K50" s="460"/>
      <c r="L50" s="460"/>
    </row>
    <row r="51" spans="1:12">
      <c r="A51" s="460"/>
      <c r="B51" s="502"/>
      <c r="C51" s="1846" t="s">
        <v>1290</v>
      </c>
      <c r="D51" s="1835">
        <f>215018.75+211043.75</f>
        <v>426062.5</v>
      </c>
      <c r="E51" s="1835">
        <f>9860000</f>
        <v>9860000</v>
      </c>
      <c r="F51" s="1835">
        <f>211043.75+205443.75</f>
        <v>416487.5</v>
      </c>
      <c r="G51" s="1835">
        <f>E51-280000</f>
        <v>9580000</v>
      </c>
      <c r="H51" s="1835">
        <f>205443.75+198543.75</f>
        <v>403987.5</v>
      </c>
      <c r="I51" s="1835">
        <f>G51-345000</f>
        <v>9235000</v>
      </c>
      <c r="J51" s="1100"/>
      <c r="K51" s="460"/>
      <c r="L51" s="460"/>
    </row>
    <row r="52" spans="1:12">
      <c r="A52" s="460"/>
      <c r="B52" s="502"/>
      <c r="C52" s="1846" t="s">
        <v>1294</v>
      </c>
      <c r="D52" s="1835">
        <f>157252.88+154773.94</f>
        <v>312026.82</v>
      </c>
      <c r="E52" s="1835">
        <f>11625000</f>
        <v>11625000</v>
      </c>
      <c r="F52" s="1835">
        <f>154773.94+151624.69</f>
        <v>306398.63</v>
      </c>
      <c r="G52" s="1835">
        <f>E52-570000</f>
        <v>11055000</v>
      </c>
      <c r="H52" s="1835">
        <f>151624.69+147887.19</f>
        <v>299511.88</v>
      </c>
      <c r="I52" s="1835">
        <f>G52-575000</f>
        <v>10480000</v>
      </c>
      <c r="J52" s="1100"/>
      <c r="K52" s="460"/>
      <c r="L52" s="460"/>
    </row>
    <row r="53" spans="1:12">
      <c r="A53" s="460"/>
      <c r="B53" s="502"/>
      <c r="C53" s="1846" t="s">
        <v>1291</v>
      </c>
      <c r="D53" s="1835">
        <f>315878.13+304628.13</f>
        <v>620506.26</v>
      </c>
      <c r="E53" s="1835">
        <f>17905000</f>
        <v>17905000</v>
      </c>
      <c r="F53" s="1835">
        <f>304628.13+293153.15</f>
        <v>597781.28</v>
      </c>
      <c r="G53" s="1835">
        <f>E53-765000</f>
        <v>17140000</v>
      </c>
      <c r="H53" s="1835">
        <f>293153.15+281453.13</f>
        <v>574606.28</v>
      </c>
      <c r="I53" s="1835">
        <f>G53-780000</f>
        <v>16360000</v>
      </c>
      <c r="J53" s="1100"/>
      <c r="K53" s="460"/>
      <c r="L53" s="460"/>
    </row>
    <row r="54" spans="1:12">
      <c r="A54" s="460"/>
      <c r="B54" s="502"/>
      <c r="C54" s="1846" t="s">
        <v>1292</v>
      </c>
      <c r="D54" s="1835">
        <f>329400+321200</f>
        <v>650600</v>
      </c>
      <c r="E54" s="1835">
        <f>20275000</f>
        <v>20275000</v>
      </c>
      <c r="F54" s="1835">
        <f>321200+312600</f>
        <v>633800</v>
      </c>
      <c r="G54" s="1835">
        <f>E54-860000</f>
        <v>19415000</v>
      </c>
      <c r="H54" s="1835">
        <f>312600+303800</f>
        <v>616400</v>
      </c>
      <c r="I54" s="1835">
        <f>G54-880000</f>
        <v>18535000</v>
      </c>
      <c r="J54" s="1100"/>
      <c r="K54" s="460"/>
      <c r="L54" s="460"/>
    </row>
    <row r="55" spans="1:12">
      <c r="A55" s="460"/>
      <c r="B55" s="502"/>
      <c r="C55" s="1846" t="s">
        <v>1293</v>
      </c>
      <c r="D55" s="1835">
        <v>557046.25</v>
      </c>
      <c r="E55" s="1835">
        <f>24335000</f>
        <v>24335000</v>
      </c>
      <c r="F55" s="1835">
        <f>519525+506850</f>
        <v>1026375</v>
      </c>
      <c r="G55" s="1835">
        <f>E55-845000</f>
        <v>23490000</v>
      </c>
      <c r="H55" s="1835">
        <f>506850+493200</f>
        <v>1000050</v>
      </c>
      <c r="I55" s="1835">
        <f>G55-910000</f>
        <v>22580000</v>
      </c>
      <c r="J55" s="1100"/>
      <c r="K55" s="460"/>
      <c r="L55" s="460"/>
    </row>
    <row r="56" spans="1:12">
      <c r="A56" s="460"/>
      <c r="B56" s="502"/>
      <c r="C56" s="1846"/>
      <c r="D56" s="1835"/>
      <c r="E56" s="1835"/>
      <c r="F56" s="1835"/>
      <c r="G56" s="1835"/>
      <c r="H56" s="1835"/>
      <c r="I56" s="1835"/>
      <c r="J56" s="1100"/>
      <c r="K56" s="460"/>
      <c r="L56" s="460"/>
    </row>
    <row r="57" spans="1:12">
      <c r="A57" s="460"/>
      <c r="B57" s="502"/>
      <c r="C57" s="1846" t="s">
        <v>1295</v>
      </c>
      <c r="D57" s="1835">
        <f>19891.44*2</f>
        <v>39782.879999999997</v>
      </c>
      <c r="E57" s="1835">
        <f>1228871.64</f>
        <v>1228871.6399999999</v>
      </c>
      <c r="F57" s="1835">
        <f>19448.41*2</f>
        <v>38896.82</v>
      </c>
      <c r="G57" s="1835">
        <f>E57-74248.56</f>
        <v>1154623.0799999998</v>
      </c>
      <c r="H57" s="1835">
        <f>18798.73*2</f>
        <v>37597.46</v>
      </c>
      <c r="I57" s="1835">
        <f>G57-81499.39</f>
        <v>1073123.69</v>
      </c>
      <c r="J57" s="1100"/>
      <c r="K57" s="460"/>
      <c r="L57" s="460"/>
    </row>
    <row r="58" spans="1:12">
      <c r="A58" s="460"/>
      <c r="B58" s="502"/>
      <c r="C58" s="1846" t="s">
        <v>1296</v>
      </c>
      <c r="D58" s="1835">
        <f>0.0075*4590000</f>
        <v>34425</v>
      </c>
      <c r="E58" s="1835">
        <f>4590000</f>
        <v>4590000</v>
      </c>
      <c r="F58" s="1835">
        <f>0.0075*E58</f>
        <v>34425</v>
      </c>
      <c r="G58" s="1835">
        <f>E58-765000</f>
        <v>3825000</v>
      </c>
      <c r="H58" s="1835">
        <f>0.0075*G58</f>
        <v>28687.5</v>
      </c>
      <c r="I58" s="1835">
        <f>G58-765000</f>
        <v>3060000</v>
      </c>
      <c r="J58" s="1100"/>
      <c r="K58" s="460"/>
      <c r="L58" s="460"/>
    </row>
    <row r="59" spans="1:12">
      <c r="A59" s="460"/>
      <c r="B59" s="502"/>
      <c r="C59" s="1846" t="s">
        <v>1297</v>
      </c>
      <c r="D59" s="1835">
        <v>3555.422235862115</v>
      </c>
      <c r="E59" s="1835">
        <f>432008.1+D59</f>
        <v>435563.5222358621</v>
      </c>
      <c r="F59" s="1835">
        <v>3584.683324427961</v>
      </c>
      <c r="G59" s="1835">
        <f>E59+F59</f>
        <v>439148.20556029008</v>
      </c>
      <c r="H59" s="1835">
        <v>3614.1852314528414</v>
      </c>
      <c r="I59" s="1835">
        <f>G59+H59</f>
        <v>442762.39079174295</v>
      </c>
      <c r="J59" s="1100"/>
      <c r="K59" s="460"/>
      <c r="L59" s="460"/>
    </row>
    <row r="60" spans="1:12">
      <c r="A60" s="460"/>
      <c r="B60" s="502"/>
      <c r="C60" s="1793"/>
      <c r="D60" s="1382"/>
      <c r="E60" s="1382"/>
      <c r="F60" s="1382"/>
      <c r="G60" s="1382"/>
      <c r="H60" s="1382"/>
      <c r="I60" s="1382"/>
      <c r="J60" s="1100"/>
      <c r="K60" s="460"/>
      <c r="L60" s="460"/>
    </row>
    <row r="61" spans="1:12">
      <c r="A61" s="460"/>
      <c r="B61" s="502"/>
      <c r="C61" s="1793" t="s">
        <v>1298</v>
      </c>
      <c r="D61" s="1382"/>
      <c r="E61" s="1835"/>
      <c r="F61" s="1835">
        <f>E61/E55*F55</f>
        <v>0</v>
      </c>
      <c r="G61" s="1835">
        <f>E61-(E61/E55*(E55-G55))</f>
        <v>0</v>
      </c>
      <c r="H61" s="1835">
        <f>G61/G55*H55</f>
        <v>0</v>
      </c>
      <c r="I61" s="1835">
        <f>G61-(G61/G55*(G55-I55))</f>
        <v>0</v>
      </c>
      <c r="J61" s="1100"/>
      <c r="K61" s="460"/>
      <c r="L61" s="460"/>
    </row>
    <row r="62" spans="1:12">
      <c r="A62" s="460"/>
      <c r="B62" s="502"/>
      <c r="C62" s="1793" t="s">
        <v>1302</v>
      </c>
      <c r="D62" s="1382"/>
      <c r="E62" s="1382"/>
      <c r="F62" s="1382"/>
      <c r="G62" s="1382">
        <v>45000000</v>
      </c>
      <c r="H62" s="1382">
        <f>IPMT(0.04,1,20,-G62)</f>
        <v>1800000</v>
      </c>
      <c r="I62" s="1382">
        <f>G62-PPMT(0.04,1,20,-G62)</f>
        <v>43488821.2352117</v>
      </c>
      <c r="J62" s="1100"/>
      <c r="K62" s="1845"/>
      <c r="L62" s="460"/>
    </row>
    <row r="63" spans="1:12">
      <c r="A63" s="460"/>
      <c r="B63" s="502"/>
      <c r="C63" s="1793" t="s">
        <v>1303</v>
      </c>
      <c r="D63" s="1382"/>
      <c r="E63" s="1382"/>
      <c r="F63" s="1382"/>
      <c r="G63" s="1382"/>
      <c r="H63" s="1382"/>
      <c r="I63" s="1382">
        <v>20000000</v>
      </c>
      <c r="J63" s="1100"/>
      <c r="K63" s="1845"/>
      <c r="L63" s="460"/>
    </row>
    <row r="64" spans="1:12">
      <c r="A64" s="460"/>
      <c r="B64" s="502"/>
      <c r="C64" s="1794"/>
      <c r="D64" s="1382"/>
      <c r="E64" s="1382"/>
      <c r="F64" s="1382"/>
      <c r="G64" s="1382"/>
      <c r="H64" s="1382"/>
      <c r="I64" s="1382"/>
      <c r="J64" s="1100"/>
      <c r="K64" s="460"/>
      <c r="L64" s="460"/>
    </row>
    <row r="65" spans="1:13">
      <c r="A65" s="460"/>
      <c r="B65" s="502"/>
      <c r="C65" s="489"/>
      <c r="D65" s="1386"/>
      <c r="E65" s="1386"/>
      <c r="F65" s="1386"/>
      <c r="G65" s="1386"/>
      <c r="H65" s="1386"/>
      <c r="I65" s="1386"/>
      <c r="J65" s="1100"/>
      <c r="K65" s="460"/>
      <c r="L65" s="460"/>
    </row>
    <row r="66" spans="1:13">
      <c r="A66" s="460"/>
      <c r="B66" s="502"/>
      <c r="C66" s="489"/>
      <c r="D66" s="1386"/>
      <c r="E66" s="1386"/>
      <c r="F66" s="1386"/>
      <c r="G66" s="1386"/>
      <c r="H66" s="1386"/>
      <c r="I66" s="1386"/>
      <c r="J66" s="1100"/>
      <c r="K66" s="460"/>
      <c r="L66" s="460"/>
    </row>
    <row r="67" spans="1:13">
      <c r="A67" s="460"/>
      <c r="B67" s="502"/>
      <c r="C67" s="489"/>
      <c r="D67" s="1386"/>
      <c r="E67" s="1386"/>
      <c r="F67" s="1386"/>
      <c r="G67" s="1386"/>
      <c r="H67" s="1386"/>
      <c r="I67" s="1386"/>
      <c r="J67" s="1100"/>
      <c r="K67" s="460"/>
      <c r="L67" s="460"/>
    </row>
    <row r="68" spans="1:13" s="122" customFormat="1" ht="13.5" thickBot="1">
      <c r="A68" s="462"/>
      <c r="B68" s="502"/>
      <c r="C68" s="983" t="s">
        <v>752</v>
      </c>
      <c r="D68" s="1375">
        <f t="shared" ref="D68:I68" si="0">SUM(D44:D67)</f>
        <v>5011836.3922358621</v>
      </c>
      <c r="E68" s="1375">
        <f t="shared" si="0"/>
        <v>143189435.16223586</v>
      </c>
      <c r="F68" s="1375">
        <f t="shared" si="0"/>
        <v>5322355.1733244285</v>
      </c>
      <c r="G68" s="1375">
        <f t="shared" si="0"/>
        <v>181418771.28556028</v>
      </c>
      <c r="H68" s="1375">
        <f t="shared" si="0"/>
        <v>6930561.0652314527</v>
      </c>
      <c r="I68" s="1375">
        <f t="shared" si="0"/>
        <v>192944707.31600344</v>
      </c>
      <c r="J68" s="1100"/>
      <c r="K68" s="462"/>
      <c r="L68" s="462"/>
      <c r="M68" s="126"/>
    </row>
    <row r="69" spans="1:13" ht="13.5" thickTop="1">
      <c r="A69" s="460"/>
      <c r="B69" s="502"/>
      <c r="C69" s="489"/>
      <c r="D69" s="1374"/>
      <c r="E69" s="1374"/>
      <c r="F69" s="1374"/>
      <c r="G69" s="1374"/>
      <c r="H69" s="1374"/>
      <c r="I69" s="1374"/>
      <c r="J69" s="1100"/>
      <c r="K69" s="460"/>
      <c r="L69" s="460"/>
    </row>
    <row r="70" spans="1:13">
      <c r="A70" s="460"/>
      <c r="B70" s="554" t="s">
        <v>753</v>
      </c>
      <c r="C70" s="489" t="s">
        <v>754</v>
      </c>
      <c r="D70" s="1374"/>
      <c r="E70" s="1374"/>
      <c r="F70" s="1374"/>
      <c r="G70" s="1374"/>
      <c r="H70" s="1374"/>
      <c r="I70" s="1374"/>
      <c r="J70" s="1100"/>
      <c r="K70" s="460"/>
      <c r="L70" s="460"/>
    </row>
    <row r="71" spans="1:13">
      <c r="A71" s="460"/>
      <c r="B71" s="502"/>
      <c r="C71" s="489" t="s">
        <v>755</v>
      </c>
      <c r="D71" s="1374"/>
      <c r="E71" s="1374"/>
      <c r="F71" s="1374"/>
      <c r="G71" s="1374"/>
      <c r="H71" s="1374"/>
      <c r="I71" s="1374"/>
      <c r="J71" s="1100"/>
      <c r="K71" s="460"/>
      <c r="L71" s="460"/>
    </row>
    <row r="72" spans="1:13">
      <c r="A72" s="460"/>
      <c r="B72" s="502"/>
      <c r="C72" s="489"/>
      <c r="D72" s="1374"/>
      <c r="E72" s="1374"/>
      <c r="F72" s="1374"/>
      <c r="G72" s="1374"/>
      <c r="H72" s="1374"/>
      <c r="I72" s="1374"/>
      <c r="J72" s="1100"/>
      <c r="K72" s="460"/>
      <c r="L72" s="460"/>
    </row>
    <row r="73" spans="1:13">
      <c r="A73" s="460"/>
      <c r="B73" s="502"/>
      <c r="C73" s="489"/>
      <c r="D73" s="1374"/>
      <c r="E73" s="1374"/>
      <c r="F73" s="1374"/>
      <c r="G73" s="1374"/>
      <c r="H73" s="1374"/>
      <c r="I73" s="1374"/>
      <c r="J73" s="1100"/>
      <c r="K73" s="460"/>
      <c r="L73" s="460"/>
    </row>
    <row r="74" spans="1:13">
      <c r="A74" s="460"/>
      <c r="B74" s="502"/>
      <c r="C74" s="489"/>
      <c r="D74" s="1374"/>
      <c r="E74" s="1374"/>
      <c r="F74" s="1374"/>
      <c r="G74" s="1374"/>
      <c r="H74" s="1374"/>
      <c r="I74" s="1374"/>
      <c r="J74" s="1100"/>
      <c r="K74" s="460"/>
      <c r="L74" s="460"/>
    </row>
    <row r="75" spans="1:13">
      <c r="A75" s="460"/>
      <c r="B75" s="502"/>
      <c r="C75" s="489"/>
      <c r="D75" s="1374"/>
      <c r="E75" s="1374"/>
      <c r="F75" s="1374"/>
      <c r="G75" s="1374"/>
      <c r="H75" s="1374"/>
      <c r="I75" s="1374"/>
      <c r="J75" s="1100"/>
      <c r="K75" s="460"/>
      <c r="L75" s="460"/>
    </row>
    <row r="76" spans="1:13" ht="13.5" thickBot="1">
      <c r="A76" s="460"/>
      <c r="B76" s="1387"/>
      <c r="C76" s="506"/>
      <c r="D76" s="1388"/>
      <c r="E76" s="1388"/>
      <c r="F76" s="1388"/>
      <c r="G76" s="1388"/>
      <c r="H76" s="1388"/>
      <c r="I76" s="1388"/>
      <c r="J76" s="1389"/>
      <c r="K76" s="460"/>
      <c r="L76" s="460"/>
    </row>
    <row r="77" spans="1:13" ht="13.5" thickTop="1">
      <c r="A77" s="460"/>
      <c r="B77" s="460"/>
      <c r="C77" s="460"/>
      <c r="D77" s="1343"/>
      <c r="E77" s="1343"/>
      <c r="F77" s="1343"/>
      <c r="G77" s="1343"/>
      <c r="H77" s="1343"/>
      <c r="I77" s="1343"/>
      <c r="J77" s="460"/>
      <c r="K77" s="460"/>
      <c r="L77" s="460"/>
    </row>
    <row r="78" spans="1:13">
      <c r="A78" s="460"/>
      <c r="B78" s="460"/>
      <c r="C78" s="460"/>
      <c r="D78" s="1343"/>
      <c r="E78" s="1343"/>
      <c r="F78" s="1343"/>
      <c r="G78" s="1343"/>
      <c r="H78" s="1343"/>
      <c r="I78" s="1343"/>
      <c r="J78" s="460"/>
      <c r="K78" s="460"/>
      <c r="L78" s="460"/>
    </row>
    <row r="79" spans="1:13">
      <c r="A79" s="460"/>
      <c r="B79" s="460"/>
      <c r="C79" s="460"/>
      <c r="D79" s="1343"/>
      <c r="E79" s="1343"/>
      <c r="F79" s="1343"/>
      <c r="G79" s="1343"/>
      <c r="H79" s="1343"/>
      <c r="I79" s="1343"/>
      <c r="J79" s="460"/>
      <c r="K79" s="460"/>
      <c r="L79" s="460"/>
    </row>
    <row r="80" spans="1:13">
      <c r="A80" s="460"/>
      <c r="B80" s="460"/>
      <c r="C80" s="460"/>
      <c r="D80" s="1343"/>
      <c r="E80" s="1343"/>
      <c r="F80" s="1343"/>
      <c r="G80" s="1343"/>
      <c r="H80" s="1343"/>
      <c r="I80" s="1343"/>
      <c r="J80" s="460"/>
      <c r="K80" s="460"/>
      <c r="L80" s="460"/>
    </row>
    <row r="81" spans="1:12">
      <c r="A81" s="460"/>
      <c r="B81" s="460"/>
      <c r="C81" s="460"/>
      <c r="D81" s="1343"/>
      <c r="E81" s="1343"/>
      <c r="F81" s="1343"/>
      <c r="G81" s="1343"/>
      <c r="H81" s="1343"/>
      <c r="I81" s="1343"/>
      <c r="J81" s="460"/>
      <c r="K81" s="460"/>
      <c r="L81" s="460"/>
    </row>
    <row r="82" spans="1:12">
      <c r="A82" s="460"/>
      <c r="B82" s="460"/>
      <c r="C82" s="460"/>
      <c r="D82" s="1343"/>
      <c r="E82" s="1343"/>
      <c r="F82" s="1343"/>
      <c r="G82" s="1343"/>
      <c r="H82" s="1343"/>
      <c r="I82" s="1343"/>
      <c r="J82" s="460"/>
      <c r="K82" s="460"/>
      <c r="L82" s="460"/>
    </row>
    <row r="83" spans="1:12">
      <c r="A83" s="460"/>
      <c r="B83" s="460"/>
      <c r="C83" s="460"/>
      <c r="D83" s="1343"/>
      <c r="E83" s="1343"/>
      <c r="F83" s="1343"/>
      <c r="G83" s="1343"/>
      <c r="H83" s="1343"/>
      <c r="I83" s="1343"/>
      <c r="J83" s="460"/>
      <c r="K83" s="460"/>
      <c r="L83" s="460"/>
    </row>
    <row r="84" spans="1:12">
      <c r="A84" s="460"/>
      <c r="B84" s="460"/>
      <c r="C84" s="460"/>
      <c r="D84" s="1343"/>
      <c r="E84" s="1343"/>
      <c r="F84" s="1343"/>
      <c r="G84" s="1343"/>
      <c r="H84" s="1343"/>
      <c r="I84" s="1343"/>
      <c r="J84" s="460"/>
      <c r="K84" s="460"/>
      <c r="L84" s="460"/>
    </row>
    <row r="85" spans="1:12">
      <c r="A85" s="460"/>
      <c r="B85" s="460"/>
      <c r="C85" s="460"/>
      <c r="D85" s="1343"/>
      <c r="E85" s="1343"/>
      <c r="F85" s="1343"/>
      <c r="G85" s="1343"/>
      <c r="H85" s="1343"/>
      <c r="I85" s="1343"/>
      <c r="J85" s="460"/>
      <c r="K85" s="460"/>
      <c r="L85" s="460"/>
    </row>
    <row r="86" spans="1:12">
      <c r="A86" s="460"/>
      <c r="B86" s="460"/>
      <c r="C86" s="460"/>
      <c r="D86" s="1343"/>
      <c r="E86" s="1343"/>
      <c r="F86" s="1343"/>
      <c r="G86" s="1343"/>
      <c r="H86" s="1343"/>
      <c r="I86" s="1343"/>
      <c r="J86" s="460"/>
      <c r="K86" s="460"/>
      <c r="L86" s="460"/>
    </row>
    <row r="87" spans="1:12">
      <c r="A87" s="460"/>
      <c r="B87" s="460"/>
      <c r="C87" s="460"/>
      <c r="D87" s="1343"/>
      <c r="E87" s="1343"/>
      <c r="F87" s="1343"/>
      <c r="G87" s="1343"/>
      <c r="H87" s="1343"/>
      <c r="I87" s="1343"/>
      <c r="J87" s="460"/>
      <c r="K87" s="460"/>
      <c r="L87" s="460"/>
    </row>
    <row r="88" spans="1:12">
      <c r="A88" s="460"/>
      <c r="B88" s="460"/>
      <c r="C88" s="460"/>
      <c r="D88" s="1343"/>
      <c r="E88" s="1343"/>
      <c r="F88" s="1343"/>
      <c r="G88" s="1343"/>
      <c r="H88" s="1343"/>
      <c r="I88" s="1343"/>
      <c r="J88" s="460"/>
      <c r="K88" s="460"/>
      <c r="L88" s="460"/>
    </row>
    <row r="89" spans="1:12">
      <c r="A89" s="460"/>
      <c r="B89" s="460"/>
      <c r="C89" s="460"/>
      <c r="D89" s="1343"/>
      <c r="E89" s="1343"/>
      <c r="F89" s="1343"/>
      <c r="G89" s="1343"/>
      <c r="H89" s="1343"/>
      <c r="I89" s="1343"/>
      <c r="J89" s="460"/>
      <c r="K89" s="460"/>
      <c r="L89" s="460"/>
    </row>
    <row r="90" spans="1:12">
      <c r="A90" s="460"/>
      <c r="B90" s="460"/>
      <c r="C90" s="460"/>
      <c r="D90" s="1343"/>
      <c r="E90" s="1343"/>
      <c r="F90" s="1343"/>
      <c r="G90" s="1343"/>
      <c r="H90" s="1343"/>
      <c r="I90" s="1343"/>
      <c r="J90" s="460"/>
      <c r="K90" s="460"/>
      <c r="L90" s="460"/>
    </row>
    <row r="91" spans="1:12">
      <c r="A91" s="460"/>
      <c r="B91" s="460"/>
      <c r="C91" s="460"/>
      <c r="D91" s="1343"/>
      <c r="E91" s="1343"/>
      <c r="F91" s="1343"/>
      <c r="G91" s="1343"/>
      <c r="H91" s="1343"/>
      <c r="I91" s="1343"/>
      <c r="J91" s="460"/>
      <c r="K91" s="460"/>
      <c r="L91" s="460"/>
    </row>
    <row r="92" spans="1:12">
      <c r="A92" s="460"/>
      <c r="B92" s="460"/>
      <c r="C92" s="460"/>
      <c r="D92" s="1343"/>
      <c r="E92" s="1343"/>
      <c r="F92" s="1343"/>
      <c r="G92" s="1343"/>
      <c r="H92" s="1343"/>
      <c r="I92" s="1343"/>
      <c r="J92" s="460"/>
      <c r="K92" s="460"/>
      <c r="L92" s="460"/>
    </row>
    <row r="93" spans="1:12">
      <c r="A93" s="460"/>
      <c r="B93" s="460"/>
      <c r="C93" s="460"/>
      <c r="D93" s="1343"/>
      <c r="E93" s="1343"/>
      <c r="F93" s="1343"/>
      <c r="G93" s="1343"/>
      <c r="H93" s="1343"/>
      <c r="I93" s="1343"/>
      <c r="J93" s="460"/>
      <c r="K93" s="460"/>
      <c r="L93" s="460"/>
    </row>
    <row r="94" spans="1:12">
      <c r="A94" s="460"/>
      <c r="B94" s="460"/>
      <c r="C94" s="460"/>
      <c r="D94" s="1343"/>
      <c r="E94" s="1343"/>
      <c r="F94" s="1343"/>
      <c r="G94" s="1343"/>
      <c r="H94" s="1343"/>
      <c r="I94" s="1343"/>
      <c r="J94" s="460"/>
      <c r="K94" s="460"/>
      <c r="L94" s="460"/>
    </row>
    <row r="95" spans="1:12">
      <c r="A95" s="460"/>
      <c r="B95" s="460"/>
      <c r="C95" s="460"/>
      <c r="D95" s="1343"/>
      <c r="E95" s="1343"/>
      <c r="F95" s="1343"/>
      <c r="G95" s="1343"/>
      <c r="H95" s="1343"/>
      <c r="I95" s="1343"/>
      <c r="J95" s="460"/>
      <c r="K95" s="460"/>
      <c r="L95" s="460"/>
    </row>
    <row r="96" spans="1:12">
      <c r="A96" s="460"/>
      <c r="B96" s="460"/>
      <c r="C96" s="460"/>
      <c r="D96" s="1343"/>
      <c r="E96" s="1343"/>
      <c r="F96" s="1343"/>
      <c r="G96" s="1343"/>
      <c r="H96" s="1343"/>
      <c r="I96" s="1343"/>
      <c r="J96" s="460"/>
      <c r="K96" s="460"/>
      <c r="L96" s="460"/>
    </row>
    <row r="97" spans="1:12">
      <c r="A97" s="460"/>
      <c r="B97" s="460"/>
      <c r="C97" s="460"/>
      <c r="D97" s="1343"/>
      <c r="E97" s="1343"/>
      <c r="F97" s="1343"/>
      <c r="G97" s="1343"/>
      <c r="H97" s="1343"/>
      <c r="I97" s="1343"/>
      <c r="J97" s="460"/>
      <c r="K97" s="460"/>
      <c r="L97" s="460"/>
    </row>
    <row r="98" spans="1:12">
      <c r="A98" s="460"/>
      <c r="B98" s="460"/>
      <c r="C98" s="460"/>
      <c r="D98" s="1343"/>
      <c r="E98" s="1343"/>
      <c r="F98" s="1343"/>
      <c r="G98" s="1343"/>
      <c r="H98" s="1343"/>
      <c r="I98" s="1343"/>
      <c r="J98" s="460"/>
      <c r="K98" s="460"/>
      <c r="L98" s="460"/>
    </row>
    <row r="99" spans="1:12">
      <c r="A99" s="460"/>
      <c r="B99" s="460"/>
      <c r="C99" s="460"/>
      <c r="D99" s="1343"/>
      <c r="E99" s="1343"/>
      <c r="F99" s="1343"/>
      <c r="G99" s="1343"/>
      <c r="H99" s="1343"/>
      <c r="I99" s="1343"/>
      <c r="J99" s="460"/>
      <c r="K99" s="460"/>
      <c r="L99" s="460"/>
    </row>
    <row r="100" spans="1:12">
      <c r="A100" s="460"/>
      <c r="B100" s="460"/>
      <c r="C100" s="460"/>
      <c r="D100" s="1343"/>
      <c r="E100" s="1343"/>
      <c r="F100" s="1343"/>
      <c r="G100" s="1343"/>
      <c r="H100" s="1343"/>
      <c r="I100" s="1343"/>
      <c r="J100" s="460"/>
      <c r="K100" s="460"/>
      <c r="L100" s="460"/>
    </row>
    <row r="101" spans="1:12">
      <c r="A101" s="460"/>
      <c r="B101" s="460"/>
      <c r="C101" s="460"/>
      <c r="D101" s="1343"/>
      <c r="E101" s="1343"/>
      <c r="F101" s="1343"/>
      <c r="G101" s="1343"/>
      <c r="H101" s="1343"/>
      <c r="I101" s="1343"/>
      <c r="J101" s="460"/>
      <c r="K101" s="460"/>
      <c r="L101" s="460"/>
    </row>
    <row r="102" spans="1:12">
      <c r="A102" s="460"/>
      <c r="B102" s="460"/>
      <c r="C102" s="460"/>
      <c r="D102" s="1343"/>
      <c r="E102" s="1343"/>
      <c r="F102" s="1343"/>
      <c r="G102" s="1343"/>
      <c r="H102" s="1343"/>
      <c r="I102" s="1343"/>
      <c r="J102" s="460"/>
      <c r="K102" s="460"/>
      <c r="L102" s="460"/>
    </row>
    <row r="103" spans="1:12">
      <c r="A103" s="460"/>
      <c r="B103" s="460"/>
      <c r="C103" s="460"/>
      <c r="D103" s="1343"/>
      <c r="E103" s="1343"/>
      <c r="F103" s="1343"/>
      <c r="G103" s="1343"/>
      <c r="H103" s="1343"/>
      <c r="I103" s="1343"/>
      <c r="J103" s="460"/>
      <c r="K103" s="460"/>
      <c r="L103" s="460"/>
    </row>
    <row r="104" spans="1:12">
      <c r="A104" s="460"/>
      <c r="B104" s="460"/>
      <c r="C104" s="460"/>
      <c r="D104" s="1343"/>
      <c r="E104" s="1343"/>
      <c r="F104" s="1343"/>
      <c r="G104" s="1343"/>
      <c r="H104" s="1343"/>
      <c r="I104" s="1343"/>
      <c r="J104" s="460"/>
      <c r="K104" s="460"/>
      <c r="L104" s="460"/>
    </row>
    <row r="105" spans="1:12">
      <c r="A105" s="460"/>
      <c r="B105" s="460"/>
      <c r="C105" s="460"/>
      <c r="D105" s="1343"/>
      <c r="E105" s="1343"/>
      <c r="F105" s="1343"/>
      <c r="G105" s="1343"/>
      <c r="H105" s="1343"/>
      <c r="I105" s="1343"/>
      <c r="J105" s="460"/>
      <c r="K105" s="460"/>
      <c r="L105" s="460"/>
    </row>
    <row r="106" spans="1:12">
      <c r="A106" s="460"/>
      <c r="B106" s="460"/>
      <c r="C106" s="460"/>
      <c r="D106" s="1343"/>
      <c r="E106" s="1343"/>
      <c r="F106" s="1343"/>
      <c r="G106" s="1343"/>
      <c r="H106" s="1343"/>
      <c r="I106" s="1343"/>
      <c r="J106" s="460"/>
      <c r="K106" s="460"/>
      <c r="L106" s="460"/>
    </row>
    <row r="107" spans="1:12">
      <c r="A107" s="460"/>
      <c r="B107" s="460"/>
      <c r="C107" s="460"/>
      <c r="D107" s="1343"/>
      <c r="E107" s="1343"/>
      <c r="F107" s="1343"/>
      <c r="G107" s="1343"/>
      <c r="H107" s="1343"/>
      <c r="I107" s="1343"/>
      <c r="J107" s="460"/>
      <c r="K107" s="460"/>
      <c r="L107" s="460"/>
    </row>
    <row r="108" spans="1:12">
      <c r="A108" s="460"/>
      <c r="B108" s="460"/>
      <c r="C108" s="460"/>
      <c r="D108" s="1343"/>
      <c r="E108" s="1343"/>
      <c r="F108" s="1343"/>
      <c r="G108" s="1343"/>
      <c r="H108" s="1343"/>
      <c r="I108" s="1343"/>
      <c r="J108" s="460"/>
      <c r="K108" s="460"/>
      <c r="L108" s="460"/>
    </row>
    <row r="109" spans="1:12">
      <c r="A109" s="460"/>
      <c r="B109" s="460"/>
      <c r="C109" s="460"/>
      <c r="D109" s="1343"/>
      <c r="E109" s="1343"/>
      <c r="F109" s="1343"/>
      <c r="G109" s="1343"/>
      <c r="H109" s="1343"/>
      <c r="I109" s="1343"/>
      <c r="J109" s="460"/>
      <c r="K109" s="460"/>
      <c r="L109" s="460"/>
    </row>
    <row r="110" spans="1:12">
      <c r="A110" s="460"/>
      <c r="B110" s="460"/>
      <c r="C110" s="460"/>
      <c r="D110" s="1343"/>
      <c r="E110" s="1343"/>
      <c r="F110" s="1343"/>
      <c r="G110" s="1343"/>
      <c r="H110" s="1343"/>
      <c r="I110" s="1343"/>
      <c r="J110" s="460"/>
      <c r="K110" s="460"/>
      <c r="L110" s="460"/>
    </row>
    <row r="111" spans="1:12">
      <c r="A111" s="460"/>
      <c r="B111" s="460"/>
      <c r="C111" s="460"/>
      <c r="D111" s="1343"/>
      <c r="E111" s="1343"/>
      <c r="F111" s="1343"/>
      <c r="G111" s="1343"/>
      <c r="H111" s="1343"/>
      <c r="I111" s="1343"/>
      <c r="J111" s="460"/>
      <c r="K111" s="460"/>
      <c r="L111" s="460"/>
    </row>
    <row r="112" spans="1:12">
      <c r="A112" s="460"/>
      <c r="B112" s="460"/>
      <c r="C112" s="460"/>
      <c r="D112" s="1343"/>
      <c r="E112" s="1343"/>
      <c r="F112" s="1343"/>
      <c r="G112" s="1343"/>
      <c r="H112" s="1343"/>
      <c r="I112" s="1343"/>
      <c r="J112" s="460"/>
      <c r="K112" s="460"/>
      <c r="L112" s="460"/>
    </row>
    <row r="113" spans="1:12">
      <c r="A113" s="460"/>
      <c r="B113" s="460"/>
      <c r="C113" s="460"/>
      <c r="D113" s="1343"/>
      <c r="E113" s="1343"/>
      <c r="F113" s="1343"/>
      <c r="G113" s="1343"/>
      <c r="H113" s="1343"/>
      <c r="I113" s="1343"/>
      <c r="J113" s="460"/>
      <c r="K113" s="460"/>
      <c r="L113" s="460"/>
    </row>
    <row r="114" spans="1:12">
      <c r="A114" s="460"/>
      <c r="B114" s="460"/>
      <c r="C114" s="460"/>
      <c r="D114" s="1343"/>
      <c r="E114" s="1343"/>
      <c r="F114" s="1343"/>
      <c r="G114" s="1343"/>
      <c r="H114" s="1343"/>
      <c r="I114" s="1343"/>
      <c r="J114" s="460"/>
      <c r="K114" s="460"/>
      <c r="L114" s="460"/>
    </row>
    <row r="115" spans="1:12">
      <c r="A115" s="460"/>
      <c r="B115" s="460"/>
      <c r="C115" s="460"/>
      <c r="D115" s="1343"/>
      <c r="E115" s="1343"/>
      <c r="F115" s="1343"/>
      <c r="G115" s="1343"/>
      <c r="H115" s="1343"/>
      <c r="I115" s="1343"/>
      <c r="J115" s="460"/>
      <c r="K115" s="460"/>
      <c r="L115" s="460"/>
    </row>
    <row r="116" spans="1:12">
      <c r="A116" s="460"/>
      <c r="B116" s="460"/>
      <c r="C116" s="460"/>
      <c r="D116" s="1343"/>
      <c r="E116" s="1343"/>
      <c r="F116" s="1343"/>
      <c r="G116" s="1343"/>
      <c r="H116" s="1343"/>
      <c r="I116" s="1343"/>
      <c r="J116" s="460"/>
      <c r="K116" s="460"/>
      <c r="L116" s="460"/>
    </row>
    <row r="117" spans="1:12">
      <c r="A117" s="460"/>
      <c r="B117" s="460"/>
      <c r="C117" s="460"/>
      <c r="D117" s="1343"/>
      <c r="E117" s="1343"/>
      <c r="F117" s="1343"/>
      <c r="G117" s="1343"/>
      <c r="H117" s="1343"/>
      <c r="I117" s="1343"/>
      <c r="J117" s="460"/>
      <c r="K117" s="460"/>
      <c r="L117" s="460"/>
    </row>
    <row r="118" spans="1:12">
      <c r="A118" s="460"/>
      <c r="B118" s="460"/>
      <c r="C118" s="460"/>
      <c r="D118" s="1343"/>
      <c r="E118" s="1343"/>
      <c r="F118" s="1343"/>
      <c r="G118" s="1343"/>
      <c r="H118" s="1343"/>
      <c r="I118" s="1343"/>
      <c r="J118" s="460"/>
      <c r="K118" s="460"/>
      <c r="L118" s="460"/>
    </row>
    <row r="119" spans="1:12">
      <c r="A119" s="460"/>
      <c r="B119" s="460"/>
      <c r="C119" s="460"/>
      <c r="D119" s="1343"/>
      <c r="E119" s="1343"/>
      <c r="F119" s="1343"/>
      <c r="G119" s="1343"/>
      <c r="H119" s="1343"/>
      <c r="I119" s="1343"/>
      <c r="J119" s="460"/>
      <c r="K119" s="460"/>
      <c r="L119" s="460"/>
    </row>
    <row r="120" spans="1:12">
      <c r="A120" s="460"/>
      <c r="B120" s="460"/>
      <c r="C120" s="460"/>
      <c r="D120" s="1343"/>
      <c r="E120" s="1343"/>
      <c r="F120" s="1343"/>
      <c r="G120" s="1343"/>
      <c r="H120" s="1343"/>
      <c r="I120" s="1343"/>
      <c r="J120" s="460"/>
      <c r="K120" s="460"/>
      <c r="L120" s="460"/>
    </row>
    <row r="121" spans="1:12">
      <c r="A121" s="460"/>
      <c r="B121" s="460"/>
      <c r="C121" s="460"/>
      <c r="D121" s="1343"/>
      <c r="E121" s="1343"/>
      <c r="F121" s="1343"/>
      <c r="G121" s="1343"/>
      <c r="H121" s="1343"/>
      <c r="I121" s="1343"/>
      <c r="J121" s="460"/>
      <c r="K121" s="460"/>
      <c r="L121" s="460"/>
    </row>
    <row r="122" spans="1:12">
      <c r="A122" s="460"/>
      <c r="B122" s="460"/>
      <c r="C122" s="460"/>
      <c r="D122" s="1343"/>
      <c r="E122" s="1343"/>
      <c r="F122" s="1343"/>
      <c r="G122" s="1343"/>
      <c r="H122" s="1343"/>
      <c r="I122" s="1343"/>
      <c r="J122" s="460"/>
      <c r="K122" s="460"/>
      <c r="L122" s="460"/>
    </row>
    <row r="123" spans="1:12">
      <c r="A123" s="460"/>
      <c r="B123" s="460"/>
      <c r="C123" s="460"/>
      <c r="D123" s="1343"/>
      <c r="E123" s="1343"/>
      <c r="F123" s="1343"/>
      <c r="G123" s="1343"/>
      <c r="H123" s="1343"/>
      <c r="I123" s="1343"/>
      <c r="J123" s="460"/>
      <c r="K123" s="460"/>
      <c r="L123" s="460"/>
    </row>
    <row r="124" spans="1:12">
      <c r="A124" s="460"/>
      <c r="B124" s="460"/>
      <c r="C124" s="460"/>
      <c r="D124" s="1343"/>
      <c r="E124" s="1343"/>
      <c r="F124" s="1343"/>
      <c r="G124" s="1343"/>
      <c r="H124" s="1343"/>
      <c r="I124" s="1343"/>
      <c r="J124" s="460"/>
      <c r="K124" s="460"/>
      <c r="L124" s="460"/>
    </row>
    <row r="125" spans="1:12">
      <c r="A125" s="460"/>
      <c r="B125" s="460"/>
      <c r="C125" s="460"/>
      <c r="D125" s="1343"/>
      <c r="E125" s="1343"/>
      <c r="F125" s="1343"/>
      <c r="G125" s="1343"/>
      <c r="H125" s="1343"/>
      <c r="I125" s="1343"/>
      <c r="J125" s="460"/>
      <c r="K125" s="460"/>
      <c r="L125" s="460"/>
    </row>
    <row r="126" spans="1:12">
      <c r="A126" s="460"/>
      <c r="B126" s="460"/>
      <c r="C126" s="460"/>
      <c r="D126" s="1343"/>
      <c r="E126" s="1343"/>
      <c r="F126" s="1343"/>
      <c r="G126" s="1343"/>
      <c r="H126" s="1343"/>
      <c r="I126" s="1343"/>
      <c r="J126" s="460"/>
      <c r="K126" s="460"/>
      <c r="L126" s="460"/>
    </row>
    <row r="127" spans="1:12">
      <c r="A127" s="460"/>
      <c r="B127" s="460"/>
      <c r="C127" s="460"/>
      <c r="D127" s="1343"/>
      <c r="E127" s="1343"/>
      <c r="F127" s="1343"/>
      <c r="G127" s="1343"/>
      <c r="H127" s="1343"/>
      <c r="I127" s="1343"/>
      <c r="J127" s="460"/>
      <c r="K127" s="460"/>
      <c r="L127" s="460"/>
    </row>
    <row r="128" spans="1:12">
      <c r="A128" s="460"/>
      <c r="B128" s="460"/>
      <c r="C128" s="460"/>
      <c r="D128" s="1343"/>
      <c r="E128" s="1343"/>
      <c r="F128" s="1343"/>
      <c r="G128" s="1343"/>
      <c r="H128" s="1343"/>
      <c r="I128" s="1343"/>
      <c r="J128" s="460"/>
      <c r="K128" s="460"/>
      <c r="L128" s="460"/>
    </row>
    <row r="129" spans="1:12">
      <c r="A129" s="460"/>
      <c r="B129" s="460"/>
      <c r="C129" s="460"/>
      <c r="D129" s="1343"/>
      <c r="E129" s="1343"/>
      <c r="F129" s="1343"/>
      <c r="G129" s="1343"/>
      <c r="H129" s="1343"/>
      <c r="I129" s="1343"/>
      <c r="J129" s="460"/>
      <c r="K129" s="460"/>
      <c r="L129" s="460"/>
    </row>
    <row r="130" spans="1:12">
      <c r="A130" s="460"/>
      <c r="B130" s="460"/>
      <c r="C130" s="460"/>
      <c r="D130" s="1343"/>
      <c r="E130" s="1343"/>
      <c r="F130" s="1343"/>
      <c r="G130" s="1343"/>
      <c r="H130" s="1343"/>
      <c r="I130" s="1343"/>
      <c r="J130" s="460"/>
      <c r="K130" s="460"/>
      <c r="L130" s="460"/>
    </row>
    <row r="131" spans="1:12">
      <c r="A131" s="460"/>
      <c r="B131" s="460"/>
      <c r="C131" s="460"/>
      <c r="D131" s="1343"/>
      <c r="E131" s="1343"/>
      <c r="F131" s="1343"/>
      <c r="G131" s="1343"/>
      <c r="H131" s="1343"/>
      <c r="I131" s="1343"/>
      <c r="J131" s="460"/>
      <c r="K131" s="460"/>
      <c r="L131" s="460"/>
    </row>
    <row r="132" spans="1:12">
      <c r="A132" s="460"/>
      <c r="B132" s="460"/>
      <c r="C132" s="460"/>
      <c r="D132" s="1343"/>
      <c r="E132" s="1343"/>
      <c r="F132" s="1343"/>
      <c r="G132" s="1343"/>
      <c r="H132" s="1343"/>
      <c r="I132" s="1343"/>
      <c r="J132" s="460"/>
      <c r="K132" s="460"/>
      <c r="L132" s="460"/>
    </row>
    <row r="133" spans="1:12">
      <c r="A133" s="460"/>
      <c r="B133" s="460"/>
      <c r="C133" s="460"/>
      <c r="D133" s="1343"/>
      <c r="E133" s="1343"/>
      <c r="F133" s="1343"/>
      <c r="G133" s="1343"/>
      <c r="H133" s="1343"/>
      <c r="I133" s="1343"/>
      <c r="J133" s="460"/>
      <c r="K133" s="460"/>
      <c r="L133" s="460"/>
    </row>
    <row r="134" spans="1:12">
      <c r="A134" s="460"/>
      <c r="B134" s="460"/>
      <c r="C134" s="460"/>
      <c r="D134" s="1343"/>
      <c r="E134" s="1343"/>
      <c r="F134" s="1343"/>
      <c r="G134" s="1343"/>
      <c r="H134" s="1343"/>
      <c r="I134" s="1343"/>
      <c r="J134" s="460"/>
      <c r="K134" s="460"/>
      <c r="L134" s="460"/>
    </row>
    <row r="135" spans="1:12">
      <c r="A135" s="460"/>
      <c r="B135" s="460"/>
      <c r="C135" s="460"/>
      <c r="D135" s="1343"/>
      <c r="E135" s="1343"/>
      <c r="F135" s="1343"/>
      <c r="G135" s="1343"/>
      <c r="H135" s="1343"/>
      <c r="I135" s="1343"/>
      <c r="J135" s="460"/>
      <c r="K135" s="460"/>
      <c r="L135" s="460"/>
    </row>
    <row r="136" spans="1:12">
      <c r="A136" s="460"/>
      <c r="B136" s="460"/>
      <c r="C136" s="460"/>
      <c r="D136" s="1343"/>
      <c r="E136" s="1343"/>
      <c r="F136" s="1343"/>
      <c r="G136" s="1343"/>
      <c r="H136" s="1343"/>
      <c r="I136" s="1343"/>
      <c r="J136" s="460"/>
      <c r="K136" s="460"/>
      <c r="L136" s="460"/>
    </row>
    <row r="137" spans="1:12">
      <c r="A137" s="460"/>
      <c r="B137" s="460"/>
      <c r="C137" s="460"/>
      <c r="D137" s="1343"/>
      <c r="E137" s="1343"/>
      <c r="F137" s="1343"/>
      <c r="G137" s="1343"/>
      <c r="H137" s="1343"/>
      <c r="I137" s="1343"/>
      <c r="J137" s="460"/>
      <c r="K137" s="460"/>
      <c r="L137" s="460"/>
    </row>
    <row r="138" spans="1:12">
      <c r="A138" s="460"/>
      <c r="B138" s="460"/>
      <c r="C138" s="460"/>
      <c r="D138" s="1343"/>
      <c r="E138" s="1343"/>
      <c r="F138" s="1343"/>
      <c r="G138" s="1343"/>
      <c r="H138" s="1343"/>
      <c r="I138" s="1343"/>
      <c r="J138" s="460"/>
      <c r="K138" s="460"/>
      <c r="L138" s="460"/>
    </row>
    <row r="139" spans="1:12">
      <c r="A139" s="460"/>
      <c r="B139" s="460"/>
      <c r="C139" s="460"/>
      <c r="D139" s="1343"/>
      <c r="E139" s="1343"/>
      <c r="F139" s="1343"/>
      <c r="G139" s="1343"/>
      <c r="H139" s="1343"/>
      <c r="I139" s="1343"/>
      <c r="J139" s="460"/>
      <c r="K139" s="460"/>
      <c r="L139" s="460"/>
    </row>
    <row r="140" spans="1:12">
      <c r="A140" s="460"/>
      <c r="B140" s="460"/>
      <c r="C140" s="460"/>
      <c r="D140" s="1343"/>
      <c r="E140" s="1343"/>
      <c r="F140" s="1343"/>
      <c r="G140" s="1343"/>
      <c r="H140" s="1343"/>
      <c r="I140" s="1343"/>
      <c r="J140" s="460"/>
      <c r="K140" s="460"/>
      <c r="L140" s="460"/>
    </row>
    <row r="141" spans="1:12">
      <c r="A141" s="460"/>
      <c r="B141" s="460"/>
      <c r="C141" s="460"/>
      <c r="D141" s="1343"/>
      <c r="E141" s="1343"/>
      <c r="F141" s="1343"/>
      <c r="G141" s="1343"/>
      <c r="H141" s="1343"/>
      <c r="I141" s="1343"/>
      <c r="J141" s="460"/>
      <c r="K141" s="460"/>
      <c r="L141" s="460"/>
    </row>
    <row r="142" spans="1:12">
      <c r="A142" s="460"/>
      <c r="B142" s="460"/>
      <c r="C142" s="460"/>
      <c r="D142" s="1343"/>
      <c r="E142" s="1343"/>
      <c r="F142" s="1343"/>
      <c r="G142" s="1343"/>
      <c r="H142" s="1343"/>
      <c r="I142" s="1343"/>
      <c r="J142" s="460"/>
      <c r="K142" s="460"/>
      <c r="L142" s="460"/>
    </row>
    <row r="143" spans="1:12">
      <c r="A143" s="460"/>
      <c r="B143" s="460"/>
      <c r="C143" s="460"/>
      <c r="D143" s="1343"/>
      <c r="E143" s="1343"/>
      <c r="F143" s="1343"/>
      <c r="G143" s="1343"/>
      <c r="H143" s="1343"/>
      <c r="I143" s="1343"/>
      <c r="J143" s="460"/>
      <c r="K143" s="460"/>
      <c r="L143" s="460"/>
    </row>
    <row r="144" spans="1:12">
      <c r="A144" s="460"/>
      <c r="B144" s="460"/>
      <c r="C144" s="460"/>
      <c r="D144" s="1343"/>
      <c r="E144" s="1343"/>
      <c r="F144" s="1343"/>
      <c r="G144" s="1343"/>
      <c r="H144" s="1343"/>
      <c r="I144" s="1343"/>
      <c r="J144" s="460"/>
      <c r="K144" s="460"/>
      <c r="L144" s="460"/>
    </row>
    <row r="145" spans="1:12">
      <c r="A145" s="460"/>
      <c r="B145" s="460"/>
      <c r="C145" s="460"/>
      <c r="D145" s="1343"/>
      <c r="E145" s="1343"/>
      <c r="F145" s="1343"/>
      <c r="G145" s="1343"/>
      <c r="H145" s="1343"/>
      <c r="I145" s="1343"/>
      <c r="J145" s="460"/>
      <c r="K145" s="460"/>
      <c r="L145" s="460"/>
    </row>
    <row r="146" spans="1:12">
      <c r="A146" s="460"/>
      <c r="B146" s="460"/>
      <c r="C146" s="460"/>
      <c r="D146" s="1343"/>
      <c r="E146" s="1343"/>
      <c r="F146" s="1343"/>
      <c r="G146" s="1343"/>
      <c r="H146" s="1343"/>
      <c r="I146" s="1343"/>
      <c r="J146" s="460"/>
      <c r="K146" s="460"/>
      <c r="L146" s="460"/>
    </row>
    <row r="147" spans="1:12">
      <c r="A147" s="460"/>
      <c r="B147" s="460"/>
      <c r="C147" s="460"/>
      <c r="D147" s="1343"/>
      <c r="E147" s="1343"/>
      <c r="F147" s="1343"/>
      <c r="G147" s="1343"/>
      <c r="H147" s="1343"/>
      <c r="I147" s="1343"/>
      <c r="J147" s="460"/>
      <c r="K147" s="460"/>
      <c r="L147" s="460"/>
    </row>
    <row r="148" spans="1:12">
      <c r="A148" s="460"/>
      <c r="B148" s="460"/>
      <c r="C148" s="460"/>
      <c r="D148" s="1343"/>
      <c r="E148" s="1343"/>
      <c r="F148" s="1343"/>
      <c r="G148" s="1343"/>
      <c r="H148" s="1343"/>
      <c r="I148" s="1343"/>
      <c r="J148" s="460"/>
      <c r="K148" s="460"/>
      <c r="L148" s="460"/>
    </row>
    <row r="149" spans="1:12">
      <c r="A149" s="460"/>
      <c r="B149" s="460"/>
      <c r="C149" s="460"/>
      <c r="D149" s="1343"/>
      <c r="E149" s="1343"/>
      <c r="F149" s="1343"/>
      <c r="G149" s="1343"/>
      <c r="H149" s="1343"/>
      <c r="I149" s="1343"/>
      <c r="J149" s="460"/>
      <c r="K149" s="460"/>
      <c r="L149" s="460"/>
    </row>
    <row r="150" spans="1:12">
      <c r="A150" s="460"/>
      <c r="B150" s="460"/>
      <c r="C150" s="460"/>
      <c r="D150" s="1343"/>
      <c r="E150" s="1343"/>
      <c r="F150" s="1343"/>
      <c r="G150" s="1343"/>
      <c r="H150" s="1343"/>
      <c r="I150" s="1343"/>
      <c r="J150" s="460"/>
      <c r="K150" s="460"/>
      <c r="L150" s="460"/>
    </row>
    <row r="151" spans="1:12">
      <c r="A151" s="460"/>
      <c r="B151" s="460"/>
      <c r="C151" s="460"/>
      <c r="D151" s="1343"/>
      <c r="E151" s="1343"/>
      <c r="F151" s="1343"/>
      <c r="G151" s="1343"/>
      <c r="H151" s="1343"/>
      <c r="I151" s="1343"/>
      <c r="J151" s="460"/>
      <c r="K151" s="460"/>
      <c r="L151" s="460"/>
    </row>
    <row r="152" spans="1:12">
      <c r="A152" s="460"/>
      <c r="B152" s="460"/>
      <c r="C152" s="460"/>
      <c r="D152" s="1343"/>
      <c r="E152" s="1343"/>
      <c r="F152" s="1343"/>
      <c r="G152" s="1343"/>
      <c r="H152" s="1343"/>
      <c r="I152" s="1343"/>
      <c r="J152" s="460"/>
      <c r="K152" s="460"/>
      <c r="L152" s="460"/>
    </row>
    <row r="153" spans="1:12">
      <c r="A153" s="460"/>
      <c r="B153" s="460"/>
      <c r="C153" s="460"/>
      <c r="D153" s="1343"/>
      <c r="E153" s="1343"/>
      <c r="F153" s="1343"/>
      <c r="G153" s="1343"/>
      <c r="H153" s="1343"/>
      <c r="I153" s="1343"/>
      <c r="J153" s="460"/>
      <c r="K153" s="460"/>
      <c r="L153" s="460"/>
    </row>
    <row r="154" spans="1:12">
      <c r="A154" s="460"/>
      <c r="B154" s="460"/>
      <c r="C154" s="460"/>
      <c r="D154" s="1343"/>
      <c r="E154" s="1343"/>
      <c r="F154" s="1343"/>
      <c r="G154" s="1343"/>
      <c r="H154" s="1343"/>
      <c r="I154" s="1343"/>
      <c r="J154" s="460"/>
      <c r="K154" s="460"/>
      <c r="L154" s="460"/>
    </row>
    <row r="155" spans="1:12">
      <c r="A155" s="460"/>
      <c r="B155" s="460"/>
      <c r="C155" s="460"/>
      <c r="D155" s="1343"/>
      <c r="E155" s="1343"/>
      <c r="F155" s="1343"/>
      <c r="G155" s="1343"/>
      <c r="H155" s="1343"/>
      <c r="I155" s="1343"/>
      <c r="J155" s="460"/>
      <c r="K155" s="460"/>
      <c r="L155" s="460"/>
    </row>
    <row r="156" spans="1:12">
      <c r="A156" s="460"/>
      <c r="B156" s="460"/>
      <c r="C156" s="460"/>
      <c r="D156" s="1343"/>
      <c r="E156" s="1343"/>
      <c r="F156" s="1343"/>
      <c r="G156" s="1343"/>
      <c r="H156" s="1343"/>
      <c r="I156" s="1343"/>
      <c r="J156" s="460"/>
      <c r="K156" s="460"/>
      <c r="L156" s="460"/>
    </row>
    <row r="157" spans="1:12">
      <c r="A157" s="460"/>
      <c r="B157" s="460"/>
      <c r="C157" s="460"/>
      <c r="D157" s="1343"/>
      <c r="E157" s="1343"/>
      <c r="F157" s="1343"/>
      <c r="G157" s="1343"/>
      <c r="H157" s="1343"/>
      <c r="I157" s="1343"/>
      <c r="J157" s="460"/>
      <c r="K157" s="460"/>
      <c r="L157" s="460"/>
    </row>
    <row r="158" spans="1:12">
      <c r="A158" s="460"/>
      <c r="B158" s="460"/>
      <c r="C158" s="460"/>
      <c r="D158" s="1343"/>
      <c r="E158" s="1343"/>
      <c r="F158" s="1343"/>
      <c r="G158" s="1343"/>
      <c r="H158" s="1343"/>
      <c r="I158" s="1343"/>
      <c r="J158" s="460"/>
      <c r="K158" s="460"/>
      <c r="L158" s="460"/>
    </row>
    <row r="159" spans="1:12">
      <c r="A159" s="460"/>
      <c r="B159" s="460"/>
      <c r="C159" s="460"/>
      <c r="D159" s="1343"/>
      <c r="E159" s="1343"/>
      <c r="F159" s="1343"/>
      <c r="G159" s="1343"/>
      <c r="H159" s="1343"/>
      <c r="I159" s="1343"/>
      <c r="J159" s="460"/>
      <c r="K159" s="460"/>
      <c r="L159" s="460"/>
    </row>
    <row r="160" spans="1:12">
      <c r="A160" s="460"/>
      <c r="B160" s="460"/>
      <c r="C160" s="460"/>
      <c r="D160" s="1343"/>
      <c r="E160" s="1343"/>
      <c r="F160" s="1343"/>
      <c r="G160" s="1343"/>
      <c r="H160" s="1343"/>
      <c r="I160" s="1343"/>
      <c r="J160" s="460"/>
      <c r="K160" s="460"/>
      <c r="L160" s="460"/>
    </row>
    <row r="161" spans="1:12">
      <c r="A161" s="460"/>
      <c r="B161" s="460"/>
      <c r="C161" s="460"/>
      <c r="D161" s="1343"/>
      <c r="E161" s="1343"/>
      <c r="F161" s="1343"/>
      <c r="G161" s="1343"/>
      <c r="H161" s="1343"/>
      <c r="I161" s="1343"/>
      <c r="J161" s="460"/>
      <c r="K161" s="460"/>
      <c r="L161" s="460"/>
    </row>
    <row r="162" spans="1:12">
      <c r="A162" s="460"/>
      <c r="B162" s="460"/>
      <c r="C162" s="460"/>
      <c r="D162" s="1343"/>
      <c r="E162" s="1343"/>
      <c r="F162" s="1343"/>
      <c r="G162" s="1343"/>
      <c r="H162" s="1343"/>
      <c r="I162" s="1343"/>
      <c r="J162" s="460"/>
      <c r="K162" s="460"/>
      <c r="L162" s="460"/>
    </row>
    <row r="163" spans="1:12">
      <c r="A163" s="460"/>
      <c r="B163" s="460"/>
      <c r="C163" s="460"/>
      <c r="D163" s="1343"/>
      <c r="E163" s="1343"/>
      <c r="F163" s="1343"/>
      <c r="G163" s="1343"/>
      <c r="H163" s="1343"/>
      <c r="I163" s="1343"/>
      <c r="J163" s="460"/>
      <c r="K163" s="460"/>
      <c r="L163" s="460"/>
    </row>
    <row r="164" spans="1:12">
      <c r="A164" s="460"/>
      <c r="B164" s="460"/>
      <c r="C164" s="460"/>
      <c r="D164" s="1343"/>
      <c r="E164" s="1343"/>
      <c r="F164" s="1343"/>
      <c r="G164" s="1343"/>
      <c r="H164" s="1343"/>
      <c r="I164" s="1343"/>
      <c r="J164" s="460"/>
      <c r="K164" s="460"/>
      <c r="L164" s="460"/>
    </row>
    <row r="165" spans="1:12">
      <c r="A165" s="460"/>
      <c r="B165" s="460"/>
      <c r="C165" s="460"/>
      <c r="D165" s="1343"/>
      <c r="E165" s="1343"/>
      <c r="F165" s="1343"/>
      <c r="G165" s="1343"/>
      <c r="H165" s="1343"/>
      <c r="I165" s="1343"/>
      <c r="J165" s="460"/>
      <c r="K165" s="460"/>
      <c r="L165" s="460"/>
    </row>
    <row r="166" spans="1:12">
      <c r="A166" s="460"/>
      <c r="B166" s="460"/>
      <c r="C166" s="460"/>
      <c r="D166" s="1343"/>
      <c r="E166" s="1343"/>
      <c r="F166" s="1343"/>
      <c r="G166" s="1343"/>
      <c r="H166" s="1343"/>
      <c r="I166" s="1343"/>
      <c r="J166" s="460"/>
      <c r="K166" s="460"/>
      <c r="L166" s="460"/>
    </row>
    <row r="167" spans="1:12">
      <c r="A167" s="460"/>
      <c r="B167" s="460"/>
      <c r="C167" s="460"/>
      <c r="D167" s="1343"/>
      <c r="E167" s="1343"/>
      <c r="F167" s="1343"/>
      <c r="G167" s="1343"/>
      <c r="H167" s="1343"/>
      <c r="I167" s="1343"/>
      <c r="J167" s="460"/>
      <c r="K167" s="460"/>
      <c r="L167" s="460"/>
    </row>
    <row r="168" spans="1:12">
      <c r="A168" s="460"/>
      <c r="B168" s="460"/>
      <c r="C168" s="460"/>
      <c r="D168" s="1343"/>
      <c r="E168" s="1343"/>
      <c r="F168" s="1343"/>
      <c r="G168" s="1343"/>
      <c r="H168" s="1343"/>
      <c r="I168" s="1343"/>
      <c r="J168" s="460"/>
      <c r="K168" s="460"/>
      <c r="L168" s="460"/>
    </row>
    <row r="169" spans="1:12">
      <c r="A169" s="460"/>
      <c r="B169" s="460"/>
      <c r="C169" s="460"/>
      <c r="D169" s="1343"/>
      <c r="E169" s="1343"/>
      <c r="F169" s="1343"/>
      <c r="G169" s="1343"/>
      <c r="H169" s="1343"/>
      <c r="I169" s="1343"/>
      <c r="J169" s="460"/>
      <c r="K169" s="460"/>
      <c r="L169" s="460"/>
    </row>
    <row r="170" spans="1:12">
      <c r="A170" s="460"/>
      <c r="B170" s="460"/>
      <c r="C170" s="460"/>
      <c r="D170" s="1343"/>
      <c r="E170" s="1343"/>
      <c r="F170" s="1343"/>
      <c r="G170" s="1343"/>
      <c r="H170" s="1343"/>
      <c r="I170" s="1343"/>
      <c r="J170" s="460"/>
      <c r="K170" s="460"/>
      <c r="L170" s="460"/>
    </row>
    <row r="171" spans="1:12">
      <c r="A171" s="460"/>
      <c r="B171" s="460"/>
      <c r="C171" s="460"/>
      <c r="D171" s="1343"/>
      <c r="E171" s="1343"/>
      <c r="F171" s="1343"/>
      <c r="G171" s="1343"/>
      <c r="H171" s="1343"/>
      <c r="I171" s="1343"/>
      <c r="J171" s="460"/>
      <c r="K171" s="460"/>
      <c r="L171" s="460"/>
    </row>
    <row r="172" spans="1:12">
      <c r="A172" s="460"/>
      <c r="B172" s="460"/>
      <c r="C172" s="460"/>
      <c r="D172" s="1343"/>
      <c r="E172" s="1343"/>
      <c r="F172" s="1343"/>
      <c r="G172" s="1343"/>
      <c r="H172" s="1343"/>
      <c r="I172" s="1343"/>
      <c r="J172" s="460"/>
      <c r="K172" s="460"/>
      <c r="L172" s="460"/>
    </row>
    <row r="173" spans="1:12">
      <c r="A173" s="460"/>
      <c r="B173" s="460"/>
      <c r="C173" s="460"/>
      <c r="D173" s="1343"/>
      <c r="E173" s="1343"/>
      <c r="F173" s="1343"/>
      <c r="G173" s="1343"/>
      <c r="H173" s="1343"/>
      <c r="I173" s="1343"/>
      <c r="J173" s="460"/>
      <c r="K173" s="460"/>
      <c r="L173" s="460"/>
    </row>
    <row r="174" spans="1:12">
      <c r="A174" s="460"/>
      <c r="B174" s="460"/>
      <c r="C174" s="460"/>
      <c r="D174" s="1343"/>
      <c r="E174" s="1343"/>
      <c r="F174" s="1343"/>
      <c r="G174" s="1343"/>
      <c r="H174" s="1343"/>
      <c r="I174" s="1343"/>
      <c r="J174" s="460"/>
      <c r="K174" s="460"/>
      <c r="L174" s="460"/>
    </row>
    <row r="175" spans="1:12">
      <c r="A175" s="460"/>
      <c r="B175" s="460"/>
      <c r="C175" s="460"/>
      <c r="D175" s="1343"/>
      <c r="E175" s="1343"/>
      <c r="F175" s="1343"/>
      <c r="G175" s="1343"/>
      <c r="H175" s="1343"/>
      <c r="I175" s="1343"/>
      <c r="J175" s="460"/>
      <c r="K175" s="460"/>
      <c r="L175" s="460"/>
    </row>
    <row r="176" spans="1:12">
      <c r="A176" s="460"/>
      <c r="B176" s="460"/>
      <c r="C176" s="460"/>
      <c r="D176" s="1343"/>
      <c r="E176" s="1343"/>
      <c r="F176" s="1343"/>
      <c r="G176" s="1343"/>
      <c r="H176" s="1343"/>
      <c r="I176" s="1343"/>
      <c r="J176" s="460"/>
      <c r="K176" s="460"/>
      <c r="L176" s="460"/>
    </row>
    <row r="177" spans="1:12">
      <c r="A177" s="460"/>
      <c r="B177" s="460"/>
      <c r="C177" s="460"/>
      <c r="D177" s="1343"/>
      <c r="E177" s="1343"/>
      <c r="F177" s="1343"/>
      <c r="G177" s="1343"/>
      <c r="H177" s="1343"/>
      <c r="I177" s="1343"/>
      <c r="J177" s="460"/>
      <c r="K177" s="460"/>
      <c r="L177" s="460"/>
    </row>
    <row r="178" spans="1:12">
      <c r="A178" s="460"/>
      <c r="B178" s="460"/>
      <c r="C178" s="460"/>
      <c r="D178" s="1343"/>
      <c r="E178" s="1343"/>
      <c r="F178" s="1343"/>
      <c r="G178" s="1343"/>
      <c r="H178" s="1343"/>
      <c r="I178" s="1343"/>
      <c r="J178" s="460"/>
      <c r="K178" s="460"/>
      <c r="L178" s="460"/>
    </row>
    <row r="179" spans="1:12">
      <c r="A179" s="460"/>
      <c r="B179" s="460"/>
      <c r="C179" s="460"/>
      <c r="D179" s="1343"/>
      <c r="E179" s="1343"/>
      <c r="F179" s="1343"/>
      <c r="G179" s="1343"/>
      <c r="H179" s="1343"/>
      <c r="I179" s="1343"/>
      <c r="J179" s="460"/>
      <c r="K179" s="460"/>
      <c r="L179" s="460"/>
    </row>
    <row r="180" spans="1:12">
      <c r="A180" s="460"/>
      <c r="B180" s="460"/>
      <c r="C180" s="460"/>
      <c r="D180" s="1343"/>
      <c r="E180" s="1343"/>
      <c r="F180" s="1343"/>
      <c r="G180" s="1343"/>
      <c r="H180" s="1343"/>
      <c r="I180" s="1343"/>
      <c r="J180" s="460"/>
      <c r="K180" s="460"/>
      <c r="L180" s="460"/>
    </row>
    <row r="181" spans="1:12">
      <c r="A181" s="460"/>
      <c r="B181" s="460"/>
      <c r="C181" s="460"/>
      <c r="D181" s="1343"/>
      <c r="E181" s="1343"/>
      <c r="F181" s="1343"/>
      <c r="G181" s="1343"/>
      <c r="H181" s="1343"/>
      <c r="I181" s="1343"/>
      <c r="J181" s="460"/>
      <c r="K181" s="460"/>
      <c r="L181" s="460"/>
    </row>
    <row r="182" spans="1:12">
      <c r="A182" s="460"/>
      <c r="B182" s="460"/>
      <c r="C182" s="460"/>
      <c r="D182" s="1343"/>
      <c r="E182" s="1343"/>
      <c r="F182" s="1343"/>
      <c r="G182" s="1343"/>
      <c r="H182" s="1343"/>
      <c r="I182" s="1343"/>
      <c r="J182" s="460"/>
      <c r="K182" s="460"/>
      <c r="L182" s="460"/>
    </row>
    <row r="183" spans="1:12">
      <c r="A183" s="460"/>
      <c r="B183" s="460"/>
      <c r="C183" s="460"/>
      <c r="D183" s="1343"/>
      <c r="E183" s="1343"/>
      <c r="F183" s="1343"/>
      <c r="G183" s="1343"/>
      <c r="H183" s="1343"/>
      <c r="I183" s="1343"/>
      <c r="J183" s="460"/>
      <c r="K183" s="460"/>
      <c r="L183" s="460"/>
    </row>
    <row r="184" spans="1:12">
      <c r="A184" s="460"/>
      <c r="B184" s="460"/>
      <c r="C184" s="460"/>
      <c r="D184" s="1343"/>
      <c r="E184" s="1343"/>
      <c r="F184" s="1343"/>
      <c r="G184" s="1343"/>
      <c r="H184" s="1343"/>
      <c r="I184" s="1343"/>
      <c r="J184" s="460"/>
      <c r="K184" s="460"/>
      <c r="L184" s="460"/>
    </row>
    <row r="185" spans="1:12">
      <c r="A185" s="460"/>
      <c r="B185" s="460"/>
      <c r="C185" s="460"/>
      <c r="D185" s="1343"/>
      <c r="E185" s="1343"/>
      <c r="F185" s="1343"/>
      <c r="G185" s="1343"/>
      <c r="H185" s="1343"/>
      <c r="I185" s="1343"/>
      <c r="J185" s="460"/>
      <c r="K185" s="460"/>
      <c r="L185" s="460"/>
    </row>
    <row r="186" spans="1:12">
      <c r="A186" s="460"/>
      <c r="B186" s="460"/>
      <c r="C186" s="460"/>
      <c r="D186" s="1343"/>
      <c r="E186" s="1343"/>
      <c r="F186" s="1343"/>
      <c r="G186" s="1343"/>
      <c r="H186" s="1343"/>
      <c r="I186" s="1343"/>
      <c r="J186" s="460"/>
      <c r="K186" s="460"/>
      <c r="L186" s="460"/>
    </row>
    <row r="187" spans="1:12">
      <c r="A187" s="460"/>
      <c r="B187" s="460"/>
      <c r="C187" s="460"/>
      <c r="D187" s="1343"/>
      <c r="E187" s="1343"/>
      <c r="F187" s="1343"/>
      <c r="G187" s="1343"/>
      <c r="H187" s="1343"/>
      <c r="I187" s="1343"/>
      <c r="J187" s="460"/>
      <c r="K187" s="460"/>
      <c r="L187" s="460"/>
    </row>
    <row r="188" spans="1:12">
      <c r="A188" s="460"/>
      <c r="B188" s="460"/>
      <c r="C188" s="460"/>
      <c r="D188" s="1343"/>
      <c r="E188" s="1343"/>
      <c r="F188" s="1343"/>
      <c r="G188" s="1343"/>
      <c r="H188" s="1343"/>
      <c r="I188" s="1343"/>
      <c r="J188" s="460"/>
      <c r="K188" s="460"/>
      <c r="L188" s="460"/>
    </row>
    <row r="189" spans="1:12">
      <c r="A189" s="460"/>
      <c r="B189" s="460"/>
      <c r="C189" s="460"/>
      <c r="D189" s="1343"/>
      <c r="E189" s="1343"/>
      <c r="F189" s="1343"/>
      <c r="G189" s="1343"/>
      <c r="H189" s="1343"/>
      <c r="I189" s="1343"/>
      <c r="J189" s="460"/>
      <c r="K189" s="460"/>
      <c r="L189" s="460"/>
    </row>
    <row r="190" spans="1:12">
      <c r="A190" s="460"/>
      <c r="B190" s="460"/>
      <c r="C190" s="460"/>
      <c r="D190" s="1343"/>
      <c r="E190" s="1343"/>
      <c r="F190" s="1343"/>
      <c r="G190" s="1343"/>
      <c r="H190" s="1343"/>
      <c r="I190" s="1343"/>
      <c r="J190" s="460"/>
      <c r="K190" s="460"/>
      <c r="L190" s="460"/>
    </row>
    <row r="191" spans="1:12">
      <c r="A191" s="460"/>
      <c r="B191" s="460"/>
      <c r="C191" s="460"/>
      <c r="D191" s="1343"/>
      <c r="E191" s="1343"/>
      <c r="F191" s="1343"/>
      <c r="G191" s="1343"/>
      <c r="H191" s="1343"/>
      <c r="I191" s="1343"/>
      <c r="J191" s="460"/>
      <c r="K191" s="460"/>
      <c r="L191" s="460"/>
    </row>
    <row r="192" spans="1:12">
      <c r="A192" s="460"/>
      <c r="B192" s="460"/>
      <c r="C192" s="460"/>
      <c r="D192" s="1343"/>
      <c r="E192" s="1343"/>
      <c r="F192" s="1343"/>
      <c r="G192" s="1343"/>
      <c r="H192" s="1343"/>
      <c r="I192" s="1343"/>
      <c r="J192" s="460"/>
      <c r="K192" s="460"/>
      <c r="L192" s="460"/>
    </row>
    <row r="193" spans="1:12">
      <c r="A193" s="460"/>
      <c r="B193" s="460"/>
      <c r="C193" s="460"/>
      <c r="D193" s="1343"/>
      <c r="E193" s="1343"/>
      <c r="F193" s="1343"/>
      <c r="G193" s="1343"/>
      <c r="H193" s="1343"/>
      <c r="I193" s="1343"/>
      <c r="J193" s="460"/>
      <c r="K193" s="460"/>
      <c r="L193" s="460"/>
    </row>
    <row r="194" spans="1:12">
      <c r="A194" s="460"/>
      <c r="B194" s="460"/>
      <c r="C194" s="460"/>
      <c r="D194" s="1343"/>
      <c r="E194" s="1343"/>
      <c r="F194" s="1343"/>
      <c r="G194" s="1343"/>
      <c r="H194" s="1343"/>
      <c r="I194" s="1343"/>
      <c r="J194" s="460"/>
      <c r="K194" s="460"/>
      <c r="L194" s="460"/>
    </row>
    <row r="195" spans="1:12">
      <c r="A195" s="460"/>
      <c r="B195" s="460"/>
      <c r="C195" s="460"/>
      <c r="D195" s="1343"/>
      <c r="E195" s="1343"/>
      <c r="F195" s="1343"/>
      <c r="G195" s="1343"/>
      <c r="H195" s="1343"/>
      <c r="I195" s="1343"/>
      <c r="J195" s="460"/>
      <c r="K195" s="460"/>
      <c r="L195" s="460"/>
    </row>
    <row r="196" spans="1:12">
      <c r="A196" s="460"/>
      <c r="B196" s="460"/>
      <c r="C196" s="460"/>
      <c r="D196" s="1343"/>
      <c r="E196" s="1343"/>
      <c r="F196" s="1343"/>
      <c r="G196" s="1343"/>
      <c r="H196" s="1343"/>
      <c r="I196" s="1343"/>
      <c r="J196" s="460"/>
      <c r="K196" s="460"/>
      <c r="L196" s="460"/>
    </row>
    <row r="197" spans="1:12">
      <c r="A197" s="460"/>
      <c r="B197" s="460"/>
      <c r="C197" s="460"/>
      <c r="D197" s="1343"/>
      <c r="E197" s="1343"/>
      <c r="F197" s="1343"/>
      <c r="G197" s="1343"/>
      <c r="H197" s="1343"/>
      <c r="I197" s="1343"/>
      <c r="J197" s="460"/>
      <c r="K197" s="460"/>
      <c r="L197" s="460"/>
    </row>
    <row r="198" spans="1:12">
      <c r="A198" s="460"/>
      <c r="B198" s="460"/>
      <c r="C198" s="460"/>
      <c r="D198" s="1343"/>
      <c r="E198" s="1343"/>
      <c r="F198" s="1343"/>
      <c r="G198" s="1343"/>
      <c r="H198" s="1343"/>
      <c r="I198" s="1343"/>
      <c r="J198" s="460"/>
      <c r="K198" s="460"/>
      <c r="L198" s="460"/>
    </row>
    <row r="199" spans="1:12">
      <c r="A199" s="460"/>
      <c r="B199" s="460"/>
      <c r="C199" s="460"/>
      <c r="D199" s="1343"/>
      <c r="E199" s="1343"/>
      <c r="F199" s="1343"/>
      <c r="G199" s="1343"/>
      <c r="H199" s="1343"/>
      <c r="I199" s="1343"/>
      <c r="J199" s="460"/>
      <c r="K199" s="460"/>
      <c r="L199" s="460"/>
    </row>
    <row r="200" spans="1:12">
      <c r="A200" s="460"/>
      <c r="B200" s="460"/>
      <c r="C200" s="460"/>
      <c r="D200" s="1343"/>
      <c r="E200" s="1343"/>
      <c r="F200" s="1343"/>
      <c r="G200" s="1343"/>
      <c r="H200" s="1343"/>
      <c r="I200" s="1343"/>
      <c r="J200" s="460"/>
      <c r="K200" s="460"/>
      <c r="L200" s="460"/>
    </row>
    <row r="201" spans="1:12">
      <c r="A201" s="460"/>
      <c r="B201" s="460"/>
      <c r="C201" s="460"/>
      <c r="D201" s="1343"/>
      <c r="E201" s="1343"/>
      <c r="F201" s="1343"/>
      <c r="G201" s="1343"/>
      <c r="H201" s="1343"/>
      <c r="I201" s="1343"/>
      <c r="J201" s="460"/>
      <c r="K201" s="460"/>
      <c r="L201" s="460"/>
    </row>
    <row r="202" spans="1:12">
      <c r="A202" s="460"/>
      <c r="B202" s="460"/>
      <c r="C202" s="460"/>
      <c r="D202" s="1343"/>
      <c r="E202" s="1343"/>
      <c r="F202" s="1343"/>
      <c r="G202" s="1343"/>
      <c r="H202" s="1343"/>
      <c r="I202" s="1343"/>
      <c r="J202" s="460"/>
      <c r="K202" s="460"/>
      <c r="L202" s="460"/>
    </row>
    <row r="203" spans="1:12">
      <c r="A203" s="460"/>
      <c r="B203" s="460"/>
      <c r="C203" s="460"/>
      <c r="D203" s="1343"/>
      <c r="E203" s="1343"/>
      <c r="F203" s="1343"/>
      <c r="G203" s="1343"/>
      <c r="H203" s="1343"/>
      <c r="I203" s="1343"/>
      <c r="J203" s="460"/>
      <c r="K203" s="460"/>
      <c r="L203" s="460"/>
    </row>
    <row r="204" spans="1:12">
      <c r="A204" s="460"/>
      <c r="B204" s="460"/>
      <c r="C204" s="460"/>
      <c r="D204" s="1343"/>
      <c r="E204" s="1343"/>
      <c r="F204" s="1343"/>
      <c r="G204" s="1343"/>
      <c r="H204" s="1343"/>
      <c r="I204" s="1343"/>
      <c r="J204" s="460"/>
      <c r="K204" s="460"/>
      <c r="L204" s="460"/>
    </row>
    <row r="205" spans="1:12">
      <c r="A205" s="460"/>
      <c r="B205" s="460"/>
      <c r="C205" s="460"/>
      <c r="D205" s="1343"/>
      <c r="E205" s="1343"/>
      <c r="F205" s="1343"/>
      <c r="G205" s="1343"/>
      <c r="H205" s="1343"/>
      <c r="I205" s="1343"/>
      <c r="J205" s="460"/>
      <c r="K205" s="460"/>
      <c r="L205" s="460"/>
    </row>
    <row r="206" spans="1:12">
      <c r="A206" s="460"/>
      <c r="B206" s="460"/>
      <c r="C206" s="460"/>
      <c r="D206" s="1343"/>
      <c r="E206" s="1343"/>
      <c r="F206" s="1343"/>
      <c r="G206" s="1343"/>
      <c r="H206" s="1343"/>
      <c r="I206" s="1343"/>
      <c r="J206" s="460"/>
      <c r="K206" s="460"/>
      <c r="L206" s="460"/>
    </row>
    <row r="207" spans="1:12">
      <c r="A207" s="460"/>
      <c r="B207" s="460"/>
      <c r="C207" s="460"/>
      <c r="D207" s="1343"/>
      <c r="E207" s="1343"/>
      <c r="F207" s="1343"/>
      <c r="G207" s="1343"/>
      <c r="H207" s="1343"/>
      <c r="I207" s="1343"/>
      <c r="J207" s="460"/>
      <c r="K207" s="460"/>
      <c r="L207" s="460"/>
    </row>
    <row r="208" spans="1:12">
      <c r="A208" s="460"/>
      <c r="B208" s="460"/>
      <c r="C208" s="460"/>
      <c r="D208" s="1343"/>
      <c r="E208" s="1343"/>
      <c r="F208" s="1343"/>
      <c r="G208" s="1343"/>
      <c r="H208" s="1343"/>
      <c r="I208" s="1343"/>
      <c r="J208" s="460"/>
      <c r="K208" s="460"/>
      <c r="L208" s="460"/>
    </row>
    <row r="209" spans="1:12">
      <c r="A209" s="460"/>
      <c r="B209" s="460"/>
      <c r="C209" s="460"/>
      <c r="D209" s="1343"/>
      <c r="E209" s="1343"/>
      <c r="F209" s="1343"/>
      <c r="G209" s="1343"/>
      <c r="H209" s="1343"/>
      <c r="I209" s="1343"/>
      <c r="J209" s="460"/>
      <c r="K209" s="460"/>
      <c r="L209" s="460"/>
    </row>
    <row r="210" spans="1:12">
      <c r="A210" s="460"/>
      <c r="B210" s="460"/>
      <c r="C210" s="460"/>
      <c r="D210" s="1343"/>
      <c r="E210" s="1343"/>
      <c r="F210" s="1343"/>
      <c r="G210" s="1343"/>
      <c r="H210" s="1343"/>
      <c r="I210" s="1343"/>
      <c r="J210" s="460"/>
      <c r="K210" s="460"/>
      <c r="L210" s="460"/>
    </row>
    <row r="211" spans="1:12">
      <c r="A211" s="460"/>
      <c r="B211" s="460"/>
      <c r="C211" s="460"/>
      <c r="D211" s="1343"/>
      <c r="E211" s="1343"/>
      <c r="F211" s="1343"/>
      <c r="G211" s="1343"/>
      <c r="H211" s="1343"/>
      <c r="I211" s="1343"/>
      <c r="J211" s="460"/>
      <c r="K211" s="460"/>
      <c r="L211" s="460"/>
    </row>
    <row r="212" spans="1:12">
      <c r="A212" s="460"/>
      <c r="B212" s="460"/>
      <c r="C212" s="460"/>
      <c r="D212" s="1343"/>
      <c r="E212" s="1343"/>
      <c r="F212" s="1343"/>
      <c r="G212" s="1343"/>
      <c r="H212" s="1343"/>
      <c r="I212" s="1343"/>
      <c r="J212" s="460"/>
      <c r="K212" s="460"/>
      <c r="L212" s="460"/>
    </row>
    <row r="213" spans="1:12">
      <c r="A213" s="460"/>
      <c r="B213" s="460"/>
      <c r="C213" s="460"/>
      <c r="D213" s="1343"/>
      <c r="E213" s="1343"/>
      <c r="F213" s="1343"/>
      <c r="G213" s="1343"/>
      <c r="H213" s="1343"/>
      <c r="I213" s="1343"/>
      <c r="J213" s="460"/>
      <c r="K213" s="460"/>
      <c r="L213" s="460"/>
    </row>
    <row r="214" spans="1:12">
      <c r="A214" s="460"/>
      <c r="B214" s="460"/>
      <c r="C214" s="460"/>
      <c r="D214" s="1343"/>
      <c r="E214" s="1343"/>
      <c r="F214" s="1343"/>
      <c r="G214" s="1343"/>
      <c r="H214" s="1343"/>
      <c r="I214" s="1343"/>
      <c r="J214" s="460"/>
      <c r="K214" s="460"/>
      <c r="L214" s="460"/>
    </row>
    <row r="215" spans="1:12">
      <c r="A215" s="460"/>
      <c r="B215" s="460"/>
      <c r="C215" s="460"/>
      <c r="D215" s="1343"/>
      <c r="E215" s="1343"/>
      <c r="F215" s="1343"/>
      <c r="G215" s="1343"/>
      <c r="H215" s="1343"/>
      <c r="I215" s="1343"/>
      <c r="J215" s="460"/>
      <c r="K215" s="460"/>
      <c r="L215" s="460"/>
    </row>
    <row r="216" spans="1:12">
      <c r="A216" s="460"/>
      <c r="B216" s="460"/>
      <c r="C216" s="460"/>
      <c r="D216" s="1343"/>
      <c r="E216" s="1343"/>
      <c r="F216" s="1343"/>
      <c r="G216" s="1343"/>
      <c r="H216" s="1343"/>
      <c r="I216" s="1343"/>
      <c r="J216" s="460"/>
      <c r="K216" s="460"/>
      <c r="L216" s="460"/>
    </row>
    <row r="217" spans="1:12">
      <c r="A217" s="460"/>
      <c r="B217" s="460"/>
      <c r="C217" s="460"/>
      <c r="D217" s="1343"/>
      <c r="E217" s="1343"/>
      <c r="F217" s="1343"/>
      <c r="G217" s="1343"/>
      <c r="H217" s="1343"/>
      <c r="I217" s="1343"/>
      <c r="J217" s="460"/>
      <c r="K217" s="460"/>
      <c r="L217" s="460"/>
    </row>
    <row r="218" spans="1:12">
      <c r="A218" s="460"/>
      <c r="B218" s="460"/>
      <c r="C218" s="460"/>
      <c r="D218" s="1343"/>
      <c r="E218" s="1343"/>
      <c r="F218" s="1343"/>
      <c r="G218" s="1343"/>
      <c r="H218" s="1343"/>
      <c r="I218" s="1343"/>
      <c r="J218" s="460"/>
      <c r="K218" s="460"/>
      <c r="L218" s="460"/>
    </row>
    <row r="219" spans="1:12">
      <c r="A219" s="460"/>
      <c r="B219" s="460"/>
      <c r="C219" s="460"/>
      <c r="D219" s="1343"/>
      <c r="E219" s="1343"/>
      <c r="F219" s="1343"/>
      <c r="G219" s="1343"/>
      <c r="H219" s="1343"/>
      <c r="I219" s="1343"/>
      <c r="J219" s="460"/>
      <c r="K219" s="460"/>
      <c r="L219" s="460"/>
    </row>
    <row r="220" spans="1:12">
      <c r="A220" s="460"/>
      <c r="B220" s="460"/>
      <c r="C220" s="460"/>
      <c r="D220" s="1343"/>
      <c r="E220" s="1343"/>
      <c r="F220" s="1343"/>
      <c r="G220" s="1343"/>
      <c r="H220" s="1343"/>
      <c r="I220" s="1343"/>
      <c r="J220" s="460"/>
      <c r="K220" s="460"/>
      <c r="L220" s="460"/>
    </row>
    <row r="221" spans="1:12">
      <c r="A221" s="460"/>
      <c r="B221" s="460"/>
      <c r="C221" s="460"/>
      <c r="D221" s="1343"/>
      <c r="E221" s="1343"/>
      <c r="F221" s="1343"/>
      <c r="G221" s="1343"/>
      <c r="H221" s="1343"/>
      <c r="I221" s="1343"/>
      <c r="J221" s="460"/>
      <c r="K221" s="460"/>
      <c r="L221" s="460"/>
    </row>
    <row r="222" spans="1:12">
      <c r="A222" s="460"/>
      <c r="B222" s="460"/>
      <c r="C222" s="460"/>
      <c r="D222" s="1343"/>
      <c r="E222" s="1343"/>
      <c r="F222" s="1343"/>
      <c r="G222" s="1343"/>
      <c r="H222" s="1343"/>
      <c r="I222" s="1343"/>
      <c r="J222" s="460"/>
      <c r="K222" s="460"/>
      <c r="L222" s="460"/>
    </row>
    <row r="223" spans="1:12">
      <c r="A223" s="460"/>
      <c r="B223" s="460"/>
      <c r="C223" s="460"/>
      <c r="D223" s="1343"/>
      <c r="E223" s="1343"/>
      <c r="F223" s="1343"/>
      <c r="G223" s="1343"/>
      <c r="H223" s="1343"/>
      <c r="I223" s="1343"/>
      <c r="J223" s="460"/>
      <c r="K223" s="460"/>
      <c r="L223" s="460"/>
    </row>
    <row r="224" spans="1:12">
      <c r="A224" s="460"/>
      <c r="B224" s="460"/>
      <c r="C224" s="460"/>
      <c r="D224" s="1343"/>
      <c r="E224" s="1343"/>
      <c r="F224" s="1343"/>
      <c r="G224" s="1343"/>
      <c r="H224" s="1343"/>
      <c r="I224" s="1343"/>
      <c r="J224" s="460"/>
      <c r="K224" s="460"/>
      <c r="L224" s="460"/>
    </row>
    <row r="225" spans="1:12">
      <c r="A225" s="460"/>
      <c r="B225" s="460"/>
      <c r="C225" s="460"/>
      <c r="D225" s="1343"/>
      <c r="E225" s="1343"/>
      <c r="F225" s="1343"/>
      <c r="G225" s="1343"/>
      <c r="H225" s="1343"/>
      <c r="I225" s="1343"/>
      <c r="J225" s="460"/>
      <c r="K225" s="460"/>
      <c r="L225" s="460"/>
    </row>
    <row r="226" spans="1:12">
      <c r="A226" s="460"/>
      <c r="B226" s="460"/>
      <c r="C226" s="460"/>
      <c r="D226" s="1343"/>
      <c r="E226" s="1343"/>
      <c r="F226" s="1343"/>
      <c r="G226" s="1343"/>
      <c r="H226" s="1343"/>
      <c r="I226" s="1343"/>
      <c r="J226" s="460"/>
      <c r="K226" s="460"/>
      <c r="L226" s="460"/>
    </row>
    <row r="227" spans="1:12">
      <c r="A227" s="460"/>
      <c r="B227" s="460"/>
      <c r="C227" s="460"/>
      <c r="D227" s="1343"/>
      <c r="E227" s="1343"/>
      <c r="F227" s="1343"/>
      <c r="G227" s="1343"/>
      <c r="H227" s="1343"/>
      <c r="I227" s="1343"/>
      <c r="J227" s="460"/>
      <c r="K227" s="460"/>
      <c r="L227" s="460"/>
    </row>
    <row r="228" spans="1:12">
      <c r="A228" s="460"/>
      <c r="B228" s="460"/>
      <c r="C228" s="460"/>
      <c r="D228" s="1343"/>
      <c r="E228" s="1343"/>
      <c r="F228" s="1343"/>
      <c r="G228" s="1343"/>
      <c r="H228" s="1343"/>
      <c r="I228" s="1343"/>
      <c r="J228" s="460"/>
      <c r="K228" s="460"/>
      <c r="L228" s="460"/>
    </row>
    <row r="229" spans="1:12">
      <c r="A229" s="460"/>
      <c r="B229" s="460"/>
      <c r="C229" s="460"/>
      <c r="D229" s="1343"/>
      <c r="E229" s="1343"/>
      <c r="F229" s="1343"/>
      <c r="G229" s="1343"/>
      <c r="H229" s="1343"/>
      <c r="I229" s="1343"/>
      <c r="J229" s="460"/>
      <c r="K229" s="460"/>
      <c r="L229" s="460"/>
    </row>
    <row r="230" spans="1:12">
      <c r="A230" s="460"/>
      <c r="B230" s="460"/>
      <c r="C230" s="460"/>
      <c r="D230" s="1343"/>
      <c r="E230" s="1343"/>
      <c r="F230" s="1343"/>
      <c r="G230" s="1343"/>
      <c r="H230" s="1343"/>
      <c r="I230" s="1343"/>
      <c r="J230" s="460"/>
      <c r="K230" s="460"/>
      <c r="L230" s="460"/>
    </row>
    <row r="231" spans="1:12">
      <c r="A231" s="460"/>
      <c r="B231" s="460"/>
      <c r="C231" s="460"/>
      <c r="D231" s="1343"/>
      <c r="E231" s="1343"/>
      <c r="F231" s="1343"/>
      <c r="G231" s="1343"/>
      <c r="H231" s="1343"/>
      <c r="I231" s="1343"/>
      <c r="J231" s="460"/>
      <c r="K231" s="460"/>
      <c r="L231" s="460"/>
    </row>
    <row r="232" spans="1:12">
      <c r="A232" s="460"/>
      <c r="B232" s="460"/>
      <c r="C232" s="460"/>
      <c r="D232" s="1343"/>
      <c r="E232" s="1343"/>
      <c r="F232" s="1343"/>
      <c r="G232" s="1343"/>
      <c r="H232" s="1343"/>
      <c r="I232" s="1343"/>
      <c r="J232" s="460"/>
      <c r="K232" s="460"/>
      <c r="L232" s="460"/>
    </row>
    <row r="233" spans="1:12">
      <c r="A233" s="460"/>
      <c r="B233" s="460"/>
      <c r="C233" s="460"/>
      <c r="D233" s="1343"/>
      <c r="E233" s="1343"/>
      <c r="F233" s="1343"/>
      <c r="G233" s="1343"/>
      <c r="H233" s="1343"/>
      <c r="I233" s="1343"/>
      <c r="J233" s="460"/>
      <c r="K233" s="460"/>
      <c r="L233" s="460"/>
    </row>
    <row r="234" spans="1:12">
      <c r="A234" s="460"/>
      <c r="B234" s="460"/>
      <c r="C234" s="460"/>
      <c r="D234" s="1343"/>
      <c r="E234" s="1343"/>
      <c r="F234" s="1343"/>
      <c r="G234" s="1343"/>
      <c r="H234" s="1343"/>
      <c r="I234" s="1343"/>
      <c r="J234" s="460"/>
      <c r="K234" s="460"/>
      <c r="L234" s="460"/>
    </row>
    <row r="235" spans="1:12">
      <c r="A235" s="460"/>
      <c r="B235" s="460"/>
      <c r="C235" s="460"/>
      <c r="D235" s="1343"/>
      <c r="E235" s="1343"/>
      <c r="F235" s="1343"/>
      <c r="G235" s="1343"/>
      <c r="H235" s="1343"/>
      <c r="I235" s="1343"/>
      <c r="J235" s="460"/>
      <c r="K235" s="460"/>
      <c r="L235" s="460"/>
    </row>
    <row r="236" spans="1:12">
      <c r="A236" s="460"/>
      <c r="B236" s="460"/>
      <c r="C236" s="460"/>
      <c r="D236" s="1343"/>
      <c r="E236" s="1343"/>
      <c r="F236" s="1343"/>
      <c r="G236" s="1343"/>
      <c r="H236" s="1343"/>
      <c r="I236" s="1343"/>
      <c r="J236" s="460"/>
      <c r="K236" s="460"/>
      <c r="L236" s="460"/>
    </row>
    <row r="237" spans="1:12">
      <c r="A237" s="460"/>
      <c r="B237" s="460"/>
      <c r="C237" s="460"/>
      <c r="D237" s="1343"/>
      <c r="E237" s="1343"/>
      <c r="F237" s="1343"/>
      <c r="G237" s="1343"/>
      <c r="H237" s="1343"/>
      <c r="I237" s="1343"/>
      <c r="J237" s="460"/>
      <c r="K237" s="460"/>
      <c r="L237" s="460"/>
    </row>
    <row r="238" spans="1:12">
      <c r="A238" s="460"/>
      <c r="B238" s="460"/>
      <c r="C238" s="460"/>
      <c r="D238" s="1343"/>
      <c r="E238" s="1343"/>
      <c r="F238" s="1343"/>
      <c r="G238" s="1343"/>
      <c r="H238" s="1343"/>
      <c r="I238" s="1343"/>
      <c r="J238" s="460"/>
      <c r="K238" s="460"/>
      <c r="L238" s="460"/>
    </row>
    <row r="239" spans="1:12">
      <c r="A239" s="460"/>
      <c r="B239" s="460"/>
      <c r="C239" s="460"/>
      <c r="D239" s="1343"/>
      <c r="E239" s="1343"/>
      <c r="F239" s="1343"/>
      <c r="G239" s="1343"/>
      <c r="H239" s="1343"/>
      <c r="I239" s="1343"/>
      <c r="J239" s="460"/>
      <c r="K239" s="460"/>
      <c r="L239" s="460"/>
    </row>
    <row r="240" spans="1:12">
      <c r="A240" s="460"/>
      <c r="B240" s="460"/>
      <c r="C240" s="460"/>
      <c r="D240" s="1343"/>
      <c r="E240" s="1343"/>
      <c r="F240" s="1343"/>
      <c r="G240" s="1343"/>
      <c r="H240" s="1343"/>
      <c r="I240" s="1343"/>
      <c r="J240" s="460"/>
      <c r="K240" s="460"/>
      <c r="L240" s="460"/>
    </row>
    <row r="241" spans="1:12">
      <c r="A241" s="460"/>
      <c r="B241" s="460"/>
      <c r="C241" s="460"/>
      <c r="D241" s="1343"/>
      <c r="E241" s="1343"/>
      <c r="F241" s="1343"/>
      <c r="G241" s="1343"/>
      <c r="H241" s="1343"/>
      <c r="I241" s="1343"/>
      <c r="J241" s="460"/>
      <c r="K241" s="460"/>
      <c r="L241" s="460"/>
    </row>
    <row r="242" spans="1:12">
      <c r="A242" s="460"/>
      <c r="B242" s="460"/>
      <c r="C242" s="460"/>
      <c r="D242" s="1343"/>
      <c r="E242" s="1343"/>
      <c r="F242" s="1343"/>
      <c r="G242" s="1343"/>
      <c r="H242" s="1343"/>
      <c r="I242" s="1343"/>
      <c r="J242" s="460"/>
      <c r="K242" s="460"/>
      <c r="L242" s="460"/>
    </row>
    <row r="243" spans="1:12">
      <c r="A243" s="460"/>
      <c r="B243" s="460"/>
      <c r="C243" s="460"/>
      <c r="D243" s="1343"/>
      <c r="E243" s="1343"/>
      <c r="F243" s="1343"/>
      <c r="G243" s="1343"/>
      <c r="H243" s="1343"/>
      <c r="I243" s="1343"/>
      <c r="J243" s="460"/>
      <c r="K243" s="460"/>
      <c r="L243" s="460"/>
    </row>
    <row r="244" spans="1:12">
      <c r="A244" s="460"/>
      <c r="B244" s="460"/>
      <c r="C244" s="460"/>
      <c r="D244" s="1343"/>
      <c r="E244" s="1343"/>
      <c r="F244" s="1343"/>
      <c r="G244" s="1343"/>
      <c r="H244" s="1343"/>
      <c r="I244" s="1343"/>
      <c r="J244" s="460"/>
      <c r="K244" s="460"/>
      <c r="L244" s="460"/>
    </row>
    <row r="245" spans="1:12">
      <c r="A245" s="460"/>
      <c r="B245" s="460"/>
      <c r="C245" s="460"/>
      <c r="D245" s="1343"/>
      <c r="E245" s="1343"/>
      <c r="F245" s="1343"/>
      <c r="G245" s="1343"/>
      <c r="H245" s="1343"/>
      <c r="I245" s="1343"/>
      <c r="J245" s="460"/>
      <c r="K245" s="460"/>
      <c r="L245" s="460"/>
    </row>
    <row r="246" spans="1:12">
      <c r="A246" s="460"/>
      <c r="B246" s="460"/>
      <c r="C246" s="460"/>
      <c r="D246" s="1343"/>
      <c r="E246" s="1343"/>
      <c r="F246" s="1343"/>
      <c r="G246" s="1343"/>
      <c r="H246" s="1343"/>
      <c r="I246" s="1343"/>
      <c r="J246" s="460"/>
      <c r="K246" s="460"/>
      <c r="L246" s="460"/>
    </row>
    <row r="247" spans="1:12">
      <c r="A247" s="460"/>
      <c r="B247" s="460"/>
      <c r="C247" s="460"/>
      <c r="D247" s="1343"/>
      <c r="E247" s="1343"/>
      <c r="F247" s="1343"/>
      <c r="G247" s="1343"/>
      <c r="H247" s="1343"/>
      <c r="I247" s="1343"/>
      <c r="J247" s="460"/>
      <c r="K247" s="460"/>
      <c r="L247" s="460"/>
    </row>
    <row r="248" spans="1:12">
      <c r="A248" s="460"/>
      <c r="B248" s="460"/>
      <c r="C248" s="460"/>
      <c r="D248" s="1343"/>
      <c r="E248" s="1343"/>
      <c r="F248" s="1343"/>
      <c r="G248" s="1343"/>
      <c r="H248" s="1343"/>
      <c r="I248" s="1343"/>
      <c r="J248" s="460"/>
      <c r="K248" s="460"/>
      <c r="L248" s="460"/>
    </row>
    <row r="249" spans="1:12">
      <c r="A249" s="460"/>
      <c r="B249" s="460"/>
      <c r="C249" s="460"/>
      <c r="D249" s="1343"/>
      <c r="E249" s="1343"/>
      <c r="F249" s="1343"/>
      <c r="G249" s="1343"/>
      <c r="H249" s="1343"/>
      <c r="I249" s="1343"/>
      <c r="J249" s="460"/>
      <c r="K249" s="460"/>
      <c r="L249" s="460"/>
    </row>
    <row r="250" spans="1:12">
      <c r="A250" s="460"/>
      <c r="B250" s="460"/>
      <c r="C250" s="460"/>
      <c r="D250" s="1343"/>
      <c r="E250" s="1343"/>
      <c r="F250" s="1343"/>
      <c r="G250" s="1343"/>
      <c r="H250" s="1343"/>
      <c r="I250" s="1343"/>
      <c r="J250" s="460"/>
      <c r="K250" s="460"/>
      <c r="L250" s="460"/>
    </row>
    <row r="251" spans="1:12">
      <c r="A251" s="460"/>
      <c r="B251" s="460"/>
      <c r="C251" s="460"/>
      <c r="D251" s="1343"/>
      <c r="E251" s="1343"/>
      <c r="F251" s="1343"/>
      <c r="G251" s="1343"/>
      <c r="H251" s="1343"/>
      <c r="I251" s="1343"/>
      <c r="J251" s="460"/>
      <c r="K251" s="460"/>
      <c r="L251" s="460"/>
    </row>
    <row r="252" spans="1:12">
      <c r="A252" s="460"/>
      <c r="B252" s="460"/>
      <c r="C252" s="460"/>
      <c r="D252" s="1343"/>
      <c r="E252" s="1343"/>
      <c r="F252" s="1343"/>
      <c r="G252" s="1343"/>
      <c r="H252" s="1343"/>
      <c r="I252" s="1343"/>
      <c r="J252" s="460"/>
      <c r="K252" s="460"/>
      <c r="L252" s="460"/>
    </row>
    <row r="253" spans="1:12">
      <c r="A253" s="460"/>
      <c r="B253" s="460"/>
      <c r="C253" s="460"/>
      <c r="D253" s="1343"/>
      <c r="E253" s="1343"/>
      <c r="F253" s="1343"/>
      <c r="G253" s="1343"/>
      <c r="H253" s="1343"/>
      <c r="I253" s="1343"/>
      <c r="J253" s="460"/>
      <c r="K253" s="460"/>
      <c r="L253" s="460"/>
    </row>
    <row r="254" spans="1:12">
      <c r="A254" s="460"/>
      <c r="B254" s="460"/>
      <c r="C254" s="460"/>
      <c r="D254" s="1343"/>
      <c r="E254" s="1343"/>
      <c r="F254" s="1343"/>
      <c r="G254" s="1343"/>
      <c r="H254" s="1343"/>
      <c r="I254" s="1343"/>
      <c r="J254" s="460"/>
      <c r="K254" s="460"/>
      <c r="L254" s="460"/>
    </row>
    <row r="255" spans="1:12">
      <c r="A255" s="460"/>
      <c r="B255" s="460"/>
      <c r="C255" s="460"/>
      <c r="D255" s="1343"/>
      <c r="E255" s="1343"/>
      <c r="F255" s="1343"/>
      <c r="G255" s="1343"/>
      <c r="H255" s="1343"/>
      <c r="I255" s="1343"/>
      <c r="J255" s="460"/>
      <c r="K255" s="460"/>
      <c r="L255" s="460"/>
    </row>
    <row r="256" spans="1:12">
      <c r="A256" s="460"/>
      <c r="B256" s="460"/>
      <c r="C256" s="460"/>
      <c r="D256" s="1343"/>
      <c r="E256" s="1343"/>
      <c r="F256" s="1343"/>
      <c r="G256" s="1343"/>
      <c r="H256" s="1343"/>
      <c r="I256" s="1343"/>
      <c r="J256" s="460"/>
      <c r="K256" s="460"/>
      <c r="L256" s="460"/>
    </row>
    <row r="257" spans="1:12">
      <c r="A257" s="460"/>
      <c r="B257" s="460"/>
      <c r="C257" s="460"/>
      <c r="D257" s="1343"/>
      <c r="E257" s="1343"/>
      <c r="F257" s="1343"/>
      <c r="G257" s="1343"/>
      <c r="H257" s="1343"/>
      <c r="I257" s="1343"/>
      <c r="J257" s="460"/>
      <c r="K257" s="460"/>
      <c r="L257" s="460"/>
    </row>
    <row r="258" spans="1:12">
      <c r="A258" s="460"/>
      <c r="B258" s="460"/>
      <c r="C258" s="460"/>
      <c r="D258" s="1343"/>
      <c r="E258" s="1343"/>
      <c r="F258" s="1343"/>
      <c r="G258" s="1343"/>
      <c r="H258" s="1343"/>
      <c r="I258" s="1343"/>
      <c r="J258" s="460"/>
      <c r="K258" s="460"/>
      <c r="L258" s="460"/>
    </row>
    <row r="259" spans="1:12">
      <c r="A259" s="460"/>
      <c r="B259" s="460"/>
      <c r="C259" s="460"/>
      <c r="D259" s="1343"/>
      <c r="E259" s="1343"/>
      <c r="F259" s="1343"/>
      <c r="G259" s="1343"/>
      <c r="H259" s="1343"/>
      <c r="I259" s="1343"/>
      <c r="J259" s="460"/>
      <c r="K259" s="460"/>
      <c r="L259" s="460"/>
    </row>
    <row r="260" spans="1:12">
      <c r="A260" s="460"/>
      <c r="B260" s="460"/>
      <c r="C260" s="460"/>
      <c r="D260" s="1343"/>
      <c r="E260" s="1343"/>
      <c r="F260" s="1343"/>
      <c r="G260" s="1343"/>
      <c r="H260" s="1343"/>
      <c r="I260" s="1343"/>
      <c r="J260" s="460"/>
      <c r="K260" s="460"/>
      <c r="L260" s="460"/>
    </row>
    <row r="261" spans="1:12">
      <c r="A261" s="460"/>
      <c r="B261" s="460"/>
      <c r="C261" s="460"/>
      <c r="D261" s="1343"/>
      <c r="E261" s="1343"/>
      <c r="F261" s="1343"/>
      <c r="G261" s="1343"/>
      <c r="H261" s="1343"/>
      <c r="I261" s="1343"/>
      <c r="J261" s="460"/>
      <c r="K261" s="460"/>
      <c r="L261" s="460"/>
    </row>
    <row r="262" spans="1:12">
      <c r="A262" s="460"/>
      <c r="B262" s="460"/>
      <c r="C262" s="460"/>
      <c r="D262" s="1343"/>
      <c r="E262" s="1343"/>
      <c r="F262" s="1343"/>
      <c r="G262" s="1343"/>
      <c r="H262" s="1343"/>
      <c r="I262" s="1343"/>
      <c r="J262" s="460"/>
      <c r="K262" s="460"/>
      <c r="L262" s="460"/>
    </row>
    <row r="263" spans="1:12">
      <c r="A263" s="460"/>
      <c r="B263" s="460"/>
      <c r="C263" s="460"/>
      <c r="D263" s="1343"/>
      <c r="E263" s="1343"/>
      <c r="F263" s="1343"/>
      <c r="G263" s="1343"/>
      <c r="H263" s="1343"/>
      <c r="I263" s="1343"/>
      <c r="J263" s="460"/>
      <c r="K263" s="460"/>
      <c r="L263" s="460"/>
    </row>
    <row r="264" spans="1:12">
      <c r="A264" s="460"/>
      <c r="B264" s="460"/>
      <c r="C264" s="460"/>
      <c r="D264" s="1343"/>
      <c r="E264" s="1343"/>
      <c r="F264" s="1343"/>
      <c r="G264" s="1343"/>
      <c r="H264" s="1343"/>
      <c r="I264" s="1343"/>
      <c r="J264" s="460"/>
      <c r="K264" s="460"/>
      <c r="L264" s="460"/>
    </row>
    <row r="265" spans="1:12">
      <c r="A265" s="460"/>
      <c r="B265" s="460"/>
      <c r="C265" s="460"/>
      <c r="D265" s="1343"/>
      <c r="E265" s="1343"/>
      <c r="F265" s="1343"/>
      <c r="G265" s="1343"/>
      <c r="H265" s="1343"/>
      <c r="I265" s="1343"/>
      <c r="J265" s="460"/>
      <c r="K265" s="460"/>
      <c r="L265" s="460"/>
    </row>
    <row r="266" spans="1:12">
      <c r="A266" s="460"/>
      <c r="B266" s="460"/>
      <c r="C266" s="460"/>
      <c r="D266" s="1343"/>
      <c r="E266" s="1343"/>
      <c r="F266" s="1343"/>
      <c r="G266" s="1343"/>
      <c r="H266" s="1343"/>
      <c r="I266" s="1343"/>
      <c r="J266" s="460"/>
      <c r="K266" s="460"/>
      <c r="L266" s="460"/>
    </row>
    <row r="267" spans="1:12">
      <c r="A267" s="460"/>
      <c r="B267" s="460"/>
      <c r="C267" s="460"/>
      <c r="D267" s="1343"/>
      <c r="E267" s="1343"/>
      <c r="F267" s="1343"/>
      <c r="G267" s="1343"/>
      <c r="H267" s="1343"/>
      <c r="I267" s="1343"/>
      <c r="J267" s="460"/>
      <c r="K267" s="460"/>
      <c r="L267" s="460"/>
    </row>
    <row r="268" spans="1:12">
      <c r="A268" s="460"/>
      <c r="B268" s="460"/>
      <c r="C268" s="460"/>
      <c r="D268" s="1343"/>
      <c r="E268" s="1343"/>
      <c r="F268" s="1343"/>
      <c r="G268" s="1343"/>
      <c r="H268" s="1343"/>
      <c r="I268" s="1343"/>
      <c r="J268" s="460"/>
      <c r="K268" s="460"/>
      <c r="L268" s="460"/>
    </row>
    <row r="269" spans="1:12">
      <c r="A269" s="460"/>
      <c r="B269" s="460"/>
      <c r="C269" s="460"/>
      <c r="D269" s="1343"/>
      <c r="E269" s="1343"/>
      <c r="F269" s="1343"/>
      <c r="G269" s="1343"/>
      <c r="H269" s="1343"/>
      <c r="I269" s="1343"/>
      <c r="J269" s="460"/>
      <c r="K269" s="460"/>
      <c r="L269" s="460"/>
    </row>
    <row r="270" spans="1:12">
      <c r="A270" s="460"/>
      <c r="B270" s="460"/>
      <c r="C270" s="460"/>
      <c r="D270" s="1343"/>
      <c r="E270" s="1343"/>
      <c r="F270" s="1343"/>
      <c r="G270" s="1343"/>
      <c r="H270" s="1343"/>
      <c r="I270" s="1343"/>
      <c r="J270" s="460"/>
      <c r="K270" s="460"/>
      <c r="L270" s="460"/>
    </row>
    <row r="271" spans="1:12">
      <c r="A271" s="460"/>
      <c r="B271" s="460"/>
      <c r="C271" s="460"/>
      <c r="D271" s="1343"/>
      <c r="E271" s="1343"/>
      <c r="F271" s="1343"/>
      <c r="G271" s="1343"/>
      <c r="H271" s="1343"/>
      <c r="I271" s="1343"/>
      <c r="J271" s="460"/>
      <c r="K271" s="460"/>
      <c r="L271" s="460"/>
    </row>
    <row r="272" spans="1:12">
      <c r="A272" s="460"/>
      <c r="B272" s="460"/>
      <c r="C272" s="460"/>
      <c r="D272" s="1343"/>
      <c r="E272" s="1343"/>
      <c r="F272" s="1343"/>
      <c r="G272" s="1343"/>
      <c r="H272" s="1343"/>
      <c r="I272" s="1343"/>
      <c r="J272" s="460"/>
      <c r="K272" s="460"/>
      <c r="L272" s="460"/>
    </row>
    <row r="273" spans="1:12">
      <c r="A273" s="460"/>
      <c r="B273" s="460"/>
      <c r="C273" s="460"/>
      <c r="D273" s="1343"/>
      <c r="E273" s="1343"/>
      <c r="F273" s="1343"/>
      <c r="G273" s="1343"/>
      <c r="H273" s="1343"/>
      <c r="I273" s="1343"/>
      <c r="J273" s="460"/>
      <c r="K273" s="460"/>
      <c r="L273" s="460"/>
    </row>
    <row r="274" spans="1:12">
      <c r="A274" s="460"/>
      <c r="B274" s="460"/>
      <c r="C274" s="460"/>
      <c r="D274" s="1343"/>
      <c r="E274" s="1343"/>
      <c r="F274" s="1343"/>
      <c r="G274" s="1343"/>
      <c r="H274" s="1343"/>
      <c r="I274" s="1343"/>
      <c r="J274" s="460"/>
      <c r="K274" s="460"/>
      <c r="L274" s="460"/>
    </row>
    <row r="275" spans="1:12">
      <c r="A275" s="460"/>
      <c r="B275" s="460"/>
      <c r="C275" s="460"/>
      <c r="D275" s="1343"/>
      <c r="E275" s="1343"/>
      <c r="F275" s="1343"/>
      <c r="G275" s="1343"/>
      <c r="H275" s="1343"/>
      <c r="I275" s="1343"/>
      <c r="J275" s="460"/>
      <c r="K275" s="460"/>
      <c r="L275" s="460"/>
    </row>
    <row r="276" spans="1:12">
      <c r="A276" s="460"/>
      <c r="B276" s="460"/>
      <c r="C276" s="460"/>
      <c r="D276" s="1343"/>
      <c r="E276" s="1343"/>
      <c r="F276" s="1343"/>
      <c r="G276" s="1343"/>
      <c r="H276" s="1343"/>
      <c r="I276" s="1343"/>
      <c r="J276" s="460"/>
      <c r="K276" s="460"/>
      <c r="L276" s="460"/>
    </row>
    <row r="277" spans="1:12">
      <c r="A277" s="460"/>
      <c r="B277" s="460"/>
      <c r="C277" s="460"/>
      <c r="D277" s="1343"/>
      <c r="E277" s="1343"/>
      <c r="F277" s="1343"/>
      <c r="G277" s="1343"/>
      <c r="H277" s="1343"/>
      <c r="I277" s="1343"/>
      <c r="J277" s="460"/>
      <c r="K277" s="460"/>
      <c r="L277" s="460"/>
    </row>
    <row r="278" spans="1:12">
      <c r="A278" s="460"/>
      <c r="B278" s="460"/>
      <c r="C278" s="460"/>
      <c r="D278" s="1343"/>
      <c r="E278" s="1343"/>
      <c r="F278" s="1343"/>
      <c r="G278" s="1343"/>
      <c r="H278" s="1343"/>
      <c r="I278" s="1343"/>
      <c r="J278" s="460"/>
      <c r="K278" s="460"/>
      <c r="L278" s="460"/>
    </row>
    <row r="279" spans="1:12">
      <c r="A279" s="460"/>
      <c r="B279" s="460"/>
      <c r="C279" s="460"/>
      <c r="D279" s="1343"/>
      <c r="E279" s="1343"/>
      <c r="F279" s="1343"/>
      <c r="G279" s="1343"/>
      <c r="H279" s="1343"/>
      <c r="I279" s="1343"/>
      <c r="J279" s="460"/>
      <c r="K279" s="460"/>
      <c r="L279" s="460"/>
    </row>
    <row r="280" spans="1:12">
      <c r="A280" s="460"/>
      <c r="B280" s="460"/>
      <c r="C280" s="460"/>
      <c r="D280" s="1343"/>
      <c r="E280" s="1343"/>
      <c r="F280" s="1343"/>
      <c r="G280" s="1343"/>
      <c r="H280" s="1343"/>
      <c r="I280" s="1343"/>
      <c r="J280" s="460"/>
      <c r="K280" s="460"/>
      <c r="L280" s="460"/>
    </row>
    <row r="281" spans="1:12">
      <c r="A281" s="460"/>
      <c r="B281" s="460"/>
      <c r="C281" s="460"/>
      <c r="D281" s="1343"/>
      <c r="E281" s="1343"/>
      <c r="F281" s="1343"/>
      <c r="G281" s="1343"/>
      <c r="H281" s="1343"/>
      <c r="I281" s="1343"/>
      <c r="J281" s="460"/>
      <c r="K281" s="460"/>
      <c r="L281" s="460"/>
    </row>
    <row r="282" spans="1:12">
      <c r="A282" s="460"/>
      <c r="B282" s="460"/>
      <c r="C282" s="460"/>
      <c r="D282" s="1343"/>
      <c r="E282" s="1343"/>
      <c r="F282" s="1343"/>
      <c r="G282" s="1343"/>
      <c r="H282" s="1343"/>
      <c r="I282" s="1343"/>
      <c r="J282" s="460"/>
      <c r="K282" s="460"/>
      <c r="L282" s="460"/>
    </row>
  </sheetData>
  <mergeCells count="5">
    <mergeCell ref="D40:E40"/>
    <mergeCell ref="F40:G40"/>
    <mergeCell ref="H40:I40"/>
    <mergeCell ref="C3:I3"/>
    <mergeCell ref="C4:I4"/>
  </mergeCells>
  <pageMargins left="0.75" right="0.75" top="1" bottom="1" header="0.5" footer="0.5"/>
  <pageSetup scale="57" orientation="portrait" blackAndWhite="1" r:id="rId1"/>
  <headerFooter alignWithMargins="0"/>
  <rowBreaks count="1" manualBreakCount="1">
    <brk id="30" max="10" man="1"/>
  </rowBreaks>
  <legacyDrawing r:id="rId2"/>
</worksheet>
</file>

<file path=xl/worksheets/sheet29.xml><?xml version="1.0" encoding="utf-8"?>
<worksheet xmlns="http://schemas.openxmlformats.org/spreadsheetml/2006/main" xmlns:r="http://schemas.openxmlformats.org/officeDocument/2006/relationships">
  <sheetPr codeName="Sheet74">
    <pageSetUpPr fitToPage="1"/>
  </sheetPr>
  <dimension ref="A1:M388"/>
  <sheetViews>
    <sheetView showGridLines="0" workbookViewId="0">
      <selection activeCell="F9" sqref="F9"/>
    </sheetView>
  </sheetViews>
  <sheetFormatPr defaultRowHeight="12.75"/>
  <cols>
    <col min="1" max="1" width="5.85546875" style="2" customWidth="1"/>
    <col min="2" max="2" width="12.42578125" style="2" customWidth="1"/>
    <col min="3" max="3" width="14" style="2" customWidth="1"/>
    <col min="4" max="7" width="9.140625" style="2"/>
    <col min="8" max="8" width="9" style="2" customWidth="1"/>
    <col min="9" max="9" width="11.5703125" style="2" customWidth="1"/>
    <col min="10" max="16384" width="9.140625" style="2"/>
  </cols>
  <sheetData>
    <row r="1" spans="1:13">
      <c r="A1" s="1112"/>
      <c r="B1" s="714" t="str">
        <f>TestYear &amp; " Test Year"</f>
        <v>2015 Test Year</v>
      </c>
      <c r="C1" s="671"/>
      <c r="D1" s="1153"/>
      <c r="E1" s="1153"/>
      <c r="F1" s="1153"/>
      <c r="G1" s="1153"/>
      <c r="H1" s="1153"/>
      <c r="I1" s="1154"/>
      <c r="J1" s="1154" t="s">
        <v>766</v>
      </c>
      <c r="K1" s="1112"/>
      <c r="L1" s="1112"/>
      <c r="M1" s="1112"/>
    </row>
    <row r="2" spans="1:13">
      <c r="A2" s="1112"/>
      <c r="B2" s="671"/>
      <c r="C2" s="671"/>
      <c r="D2" s="1153"/>
      <c r="E2" s="1153"/>
      <c r="F2" s="1153"/>
      <c r="G2" s="1153"/>
      <c r="H2" s="1153"/>
      <c r="I2" s="1155"/>
      <c r="J2" s="1112"/>
      <c r="K2" s="1112"/>
      <c r="L2" s="1112"/>
      <c r="M2" s="1112"/>
    </row>
    <row r="3" spans="1:13">
      <c r="A3" s="1112"/>
      <c r="B3" s="822"/>
      <c r="C3" s="2052" t="str">
        <f>Utility</f>
        <v>MADISON WATER UTILITY</v>
      </c>
      <c r="D3" s="2052"/>
      <c r="E3" s="2052"/>
      <c r="F3" s="2052"/>
      <c r="G3" s="2052"/>
      <c r="H3" s="2052"/>
      <c r="I3" s="2052"/>
      <c r="J3" s="1112"/>
      <c r="K3" s="1112"/>
      <c r="L3" s="1112"/>
      <c r="M3" s="1112"/>
    </row>
    <row r="4" spans="1:13">
      <c r="A4" s="1112"/>
      <c r="B4" s="822"/>
      <c r="C4" s="1156"/>
      <c r="D4" s="747"/>
      <c r="E4" s="747"/>
      <c r="F4" s="747"/>
      <c r="G4" s="747"/>
      <c r="H4" s="747"/>
      <c r="I4" s="1155"/>
      <c r="J4" s="1112"/>
      <c r="K4" s="1112"/>
      <c r="L4" s="1112"/>
      <c r="M4" s="1112"/>
    </row>
    <row r="5" spans="1:13">
      <c r="A5" s="1112"/>
      <c r="B5" s="1002"/>
      <c r="C5" s="2054" t="s">
        <v>756</v>
      </c>
      <c r="D5" s="2054"/>
      <c r="E5" s="2054"/>
      <c r="F5" s="2054"/>
      <c r="G5" s="2054"/>
      <c r="H5" s="2054"/>
      <c r="I5" s="2054"/>
      <c r="J5" s="1112"/>
      <c r="K5" s="1112"/>
      <c r="L5" s="1112"/>
      <c r="M5" s="1112"/>
    </row>
    <row r="6" spans="1:13" ht="13.5" thickBot="1">
      <c r="A6" s="1112"/>
      <c r="B6" s="723"/>
      <c r="C6" s="1141"/>
      <c r="D6" s="1142"/>
      <c r="E6" s="1143"/>
      <c r="F6" s="1142"/>
      <c r="G6" s="1142"/>
      <c r="H6" s="1142"/>
      <c r="I6" s="1144"/>
      <c r="J6" s="1112"/>
      <c r="K6" s="1112"/>
      <c r="L6" s="1112"/>
      <c r="M6" s="1112"/>
    </row>
    <row r="7" spans="1:13" ht="13.5" thickTop="1">
      <c r="A7" s="1112"/>
      <c r="B7" s="1145"/>
      <c r="C7" s="654"/>
      <c r="D7" s="1146"/>
      <c r="E7" s="1146"/>
      <c r="F7" s="1146"/>
      <c r="G7" s="1146"/>
      <c r="H7" s="1146"/>
      <c r="I7" s="1146"/>
      <c r="J7" s="1126"/>
      <c r="K7" s="1112"/>
      <c r="L7" s="1112"/>
      <c r="M7" s="1112"/>
    </row>
    <row r="8" spans="1:13">
      <c r="A8" s="1112"/>
      <c r="B8" s="1127"/>
      <c r="C8" s="1114"/>
      <c r="D8" s="1114"/>
      <c r="E8" s="1114"/>
      <c r="F8" s="1114"/>
      <c r="G8" s="1114"/>
      <c r="H8" s="1114"/>
      <c r="I8" s="1114"/>
      <c r="J8" s="1128"/>
      <c r="K8" s="1112"/>
      <c r="L8" s="1112"/>
      <c r="M8" s="1112"/>
    </row>
    <row r="9" spans="1:13">
      <c r="A9" s="1112"/>
      <c r="B9" s="1127"/>
      <c r="C9" s="1114" t="s">
        <v>757</v>
      </c>
      <c r="D9" s="1114"/>
      <c r="E9" s="1114"/>
      <c r="F9" s="1114"/>
      <c r="G9" s="1140" t="s">
        <v>1118</v>
      </c>
      <c r="H9" s="1114"/>
      <c r="I9" s="1114"/>
      <c r="J9" s="1128"/>
      <c r="K9" s="1112"/>
      <c r="L9" s="1112"/>
      <c r="M9" s="1112"/>
    </row>
    <row r="10" spans="1:13">
      <c r="A10" s="1112"/>
      <c r="B10" s="1130"/>
      <c r="C10" s="1114"/>
      <c r="D10" s="1114"/>
      <c r="E10" s="1114"/>
      <c r="F10" s="1114"/>
      <c r="G10" s="1114"/>
      <c r="H10" s="1114"/>
      <c r="I10" s="1114"/>
      <c r="J10" s="1128"/>
      <c r="K10" s="1112"/>
      <c r="L10" s="1112"/>
      <c r="M10" s="1112"/>
    </row>
    <row r="11" spans="1:13">
      <c r="A11" s="1112"/>
      <c r="B11" s="1130"/>
      <c r="C11" s="1114" t="s">
        <v>758</v>
      </c>
      <c r="D11" s="1114"/>
      <c r="E11" s="1114"/>
      <c r="F11" s="1114"/>
      <c r="G11" s="1114"/>
      <c r="H11" s="1114"/>
      <c r="I11" s="1114"/>
      <c r="J11" s="1128"/>
      <c r="K11" s="1112"/>
      <c r="L11" s="1112"/>
      <c r="M11" s="1112"/>
    </row>
    <row r="12" spans="1:13">
      <c r="A12" s="1112"/>
      <c r="B12" s="1147" t="s">
        <v>439</v>
      </c>
      <c r="C12" s="1129" t="s">
        <v>759</v>
      </c>
      <c r="D12" s="1114"/>
      <c r="E12" s="1114"/>
      <c r="F12" s="1114"/>
      <c r="G12" s="1114"/>
      <c r="H12" s="1114"/>
      <c r="I12" s="1114"/>
      <c r="J12" s="1128"/>
      <c r="K12" s="1112"/>
      <c r="L12" s="1112"/>
      <c r="M12" s="1112"/>
    </row>
    <row r="13" spans="1:13">
      <c r="A13" s="1112"/>
      <c r="B13" s="1148"/>
      <c r="C13" s="2055"/>
      <c r="D13" s="2056"/>
      <c r="E13" s="2056"/>
      <c r="F13" s="2056"/>
      <c r="G13" s="2056"/>
      <c r="H13" s="2056"/>
      <c r="I13" s="2057"/>
      <c r="J13" s="1128"/>
      <c r="K13" s="1112"/>
      <c r="L13" s="1112"/>
      <c r="M13" s="1112"/>
    </row>
    <row r="14" spans="1:13">
      <c r="A14" s="1112"/>
      <c r="B14" s="1148"/>
      <c r="C14" s="2058"/>
      <c r="D14" s="2059"/>
      <c r="E14" s="2059"/>
      <c r="F14" s="2059"/>
      <c r="G14" s="2059"/>
      <c r="H14" s="2059"/>
      <c r="I14" s="2060"/>
      <c r="J14" s="1128"/>
      <c r="K14" s="1112"/>
      <c r="L14" s="1112"/>
      <c r="M14" s="1112"/>
    </row>
    <row r="15" spans="1:13">
      <c r="A15" s="1112"/>
      <c r="B15" s="1148"/>
      <c r="C15" s="2058"/>
      <c r="D15" s="2059"/>
      <c r="E15" s="2059"/>
      <c r="F15" s="2059"/>
      <c r="G15" s="2059"/>
      <c r="H15" s="2059"/>
      <c r="I15" s="2060"/>
      <c r="J15" s="1128"/>
      <c r="K15" s="1112"/>
      <c r="L15" s="1112"/>
      <c r="M15" s="1112"/>
    </row>
    <row r="16" spans="1:13">
      <c r="A16" s="1112"/>
      <c r="B16" s="1148"/>
      <c r="C16" s="2058"/>
      <c r="D16" s="2059"/>
      <c r="E16" s="2059"/>
      <c r="F16" s="2059"/>
      <c r="G16" s="2059"/>
      <c r="H16" s="2059"/>
      <c r="I16" s="2060"/>
      <c r="J16" s="1128"/>
      <c r="K16" s="1112"/>
      <c r="L16" s="1112"/>
      <c r="M16" s="1112"/>
    </row>
    <row r="17" spans="1:13">
      <c r="A17" s="1112"/>
      <c r="B17" s="1148"/>
      <c r="C17" s="2058"/>
      <c r="D17" s="2059"/>
      <c r="E17" s="2059"/>
      <c r="F17" s="2059"/>
      <c r="G17" s="2059"/>
      <c r="H17" s="2059"/>
      <c r="I17" s="2060"/>
      <c r="J17" s="1128"/>
      <c r="K17" s="1112"/>
      <c r="L17" s="1112"/>
      <c r="M17" s="1112"/>
    </row>
    <row r="18" spans="1:13">
      <c r="A18" s="1112"/>
      <c r="B18" s="1148"/>
      <c r="C18" s="2058"/>
      <c r="D18" s="2059"/>
      <c r="E18" s="2059"/>
      <c r="F18" s="2059"/>
      <c r="G18" s="2059"/>
      <c r="H18" s="2059"/>
      <c r="I18" s="2060"/>
      <c r="J18" s="1128"/>
      <c r="K18" s="1112"/>
      <c r="L18" s="1112"/>
      <c r="M18" s="1112"/>
    </row>
    <row r="19" spans="1:13">
      <c r="A19" s="1112"/>
      <c r="B19" s="1148"/>
      <c r="C19" s="2058"/>
      <c r="D19" s="2059"/>
      <c r="E19" s="2059"/>
      <c r="F19" s="2059"/>
      <c r="G19" s="2059"/>
      <c r="H19" s="2059"/>
      <c r="I19" s="2060"/>
      <c r="J19" s="1128"/>
      <c r="K19" s="1112"/>
      <c r="L19" s="1112"/>
      <c r="M19" s="1112"/>
    </row>
    <row r="20" spans="1:13">
      <c r="A20" s="1112"/>
      <c r="B20" s="1148"/>
      <c r="C20" s="2058"/>
      <c r="D20" s="2059"/>
      <c r="E20" s="2059"/>
      <c r="F20" s="2059"/>
      <c r="G20" s="2059"/>
      <c r="H20" s="2059"/>
      <c r="I20" s="2060"/>
      <c r="J20" s="1128"/>
      <c r="K20" s="1112"/>
      <c r="L20" s="1112"/>
      <c r="M20" s="1112"/>
    </row>
    <row r="21" spans="1:13">
      <c r="A21" s="1112"/>
      <c r="B21" s="1148"/>
      <c r="C21" s="2058"/>
      <c r="D21" s="2059"/>
      <c r="E21" s="2059"/>
      <c r="F21" s="2059"/>
      <c r="G21" s="2059"/>
      <c r="H21" s="2059"/>
      <c r="I21" s="2060"/>
      <c r="J21" s="1128"/>
      <c r="K21" s="1112"/>
      <c r="L21" s="1112"/>
      <c r="M21" s="1112"/>
    </row>
    <row r="22" spans="1:13">
      <c r="A22" s="1112"/>
      <c r="B22" s="1148"/>
      <c r="C22" s="2058"/>
      <c r="D22" s="2059"/>
      <c r="E22" s="2059"/>
      <c r="F22" s="2059"/>
      <c r="G22" s="2059"/>
      <c r="H22" s="2059"/>
      <c r="I22" s="2060"/>
      <c r="J22" s="1128"/>
      <c r="K22" s="1112"/>
      <c r="L22" s="1112"/>
      <c r="M22" s="1112"/>
    </row>
    <row r="23" spans="1:13">
      <c r="A23" s="1112"/>
      <c r="B23" s="1148"/>
      <c r="C23" s="2061"/>
      <c r="D23" s="2062"/>
      <c r="E23" s="2062"/>
      <c r="F23" s="2062"/>
      <c r="G23" s="2062"/>
      <c r="H23" s="2062"/>
      <c r="I23" s="2063"/>
      <c r="J23" s="1128"/>
      <c r="K23" s="1112"/>
      <c r="L23" s="1112"/>
      <c r="M23" s="1112"/>
    </row>
    <row r="24" spans="1:13">
      <c r="A24" s="1112"/>
      <c r="B24" s="1148"/>
      <c r="C24" s="1114"/>
      <c r="D24" s="1114"/>
      <c r="E24" s="1114"/>
      <c r="F24" s="1114"/>
      <c r="G24" s="1114"/>
      <c r="H24" s="1114"/>
      <c r="I24" s="1114"/>
      <c r="J24" s="1128"/>
      <c r="K24" s="1112"/>
      <c r="L24" s="1112"/>
      <c r="M24" s="1112"/>
    </row>
    <row r="25" spans="1:13">
      <c r="A25" s="1112"/>
      <c r="B25" s="1147" t="s">
        <v>760</v>
      </c>
      <c r="C25" s="1129" t="s">
        <v>761</v>
      </c>
      <c r="D25" s="1114"/>
      <c r="E25" s="1114"/>
      <c r="F25" s="1114"/>
      <c r="G25" s="1115"/>
      <c r="H25" s="1114"/>
      <c r="I25" s="1152"/>
      <c r="J25" s="1128"/>
      <c r="K25" s="1112"/>
      <c r="L25" s="1112"/>
      <c r="M25" s="1112"/>
    </row>
    <row r="26" spans="1:13">
      <c r="A26" s="1112"/>
      <c r="B26" s="1148"/>
      <c r="C26" s="1114"/>
      <c r="D26" s="1114"/>
      <c r="E26" s="1114"/>
      <c r="F26" s="1114"/>
      <c r="G26" s="1114"/>
      <c r="H26" s="1114"/>
      <c r="I26" s="1114"/>
      <c r="J26" s="1128"/>
      <c r="K26" s="1112"/>
      <c r="L26" s="1112"/>
      <c r="M26" s="1112"/>
    </row>
    <row r="27" spans="1:13">
      <c r="A27" s="1112"/>
      <c r="B27" s="1147" t="s">
        <v>762</v>
      </c>
      <c r="C27" s="1129" t="s">
        <v>763</v>
      </c>
      <c r="D27" s="1114"/>
      <c r="E27" s="1114"/>
      <c r="F27" s="1114"/>
      <c r="G27" s="1114"/>
      <c r="H27" s="1114"/>
      <c r="I27" s="1140"/>
      <c r="J27" s="1128"/>
      <c r="K27" s="1112"/>
      <c r="L27" s="1112"/>
      <c r="M27" s="1112"/>
    </row>
    <row r="28" spans="1:13">
      <c r="A28" s="1112"/>
      <c r="B28" s="1148"/>
      <c r="C28" s="1114"/>
      <c r="D28" s="1114"/>
      <c r="E28" s="1114"/>
      <c r="F28" s="1114"/>
      <c r="G28" s="1114"/>
      <c r="H28" s="1114"/>
      <c r="I28" s="1114"/>
      <c r="J28" s="1128"/>
      <c r="K28" s="1112"/>
      <c r="L28" s="1112"/>
      <c r="M28" s="1112"/>
    </row>
    <row r="29" spans="1:13">
      <c r="A29" s="1112"/>
      <c r="B29" s="1157" t="s">
        <v>993</v>
      </c>
      <c r="C29" s="1129" t="s">
        <v>764</v>
      </c>
      <c r="D29" s="1114"/>
      <c r="E29" s="1114"/>
      <c r="F29" s="1114"/>
      <c r="G29" s="1114"/>
      <c r="H29" s="1115"/>
      <c r="I29" s="1140"/>
      <c r="J29" s="1128"/>
      <c r="K29" s="1112"/>
      <c r="L29" s="1112"/>
      <c r="M29" s="1112"/>
    </row>
    <row r="30" spans="1:13">
      <c r="A30" s="1112"/>
      <c r="B30" s="1148"/>
      <c r="C30" s="1114"/>
      <c r="D30" s="1114"/>
      <c r="E30" s="1114"/>
      <c r="F30" s="1114"/>
      <c r="G30" s="1114"/>
      <c r="H30" s="1114"/>
      <c r="I30" s="1114"/>
      <c r="J30" s="1128"/>
      <c r="K30" s="1112"/>
      <c r="L30" s="1112"/>
      <c r="M30" s="1112"/>
    </row>
    <row r="31" spans="1:13">
      <c r="A31" s="1112"/>
      <c r="B31" s="1151" t="s">
        <v>992</v>
      </c>
      <c r="C31" s="1114"/>
      <c r="D31" s="1114"/>
      <c r="E31" s="1114"/>
      <c r="F31" s="1114"/>
      <c r="G31" s="1114"/>
      <c r="H31" s="1114"/>
      <c r="I31" s="1114"/>
      <c r="J31" s="1128"/>
      <c r="K31" s="1112"/>
      <c r="L31" s="1112"/>
      <c r="M31" s="1112"/>
    </row>
    <row r="32" spans="1:13">
      <c r="A32" s="1112"/>
      <c r="B32" s="1149" t="s">
        <v>765</v>
      </c>
      <c r="C32" s="1114"/>
      <c r="D32" s="1114"/>
      <c r="E32" s="1114"/>
      <c r="F32" s="1114"/>
      <c r="G32" s="1114"/>
      <c r="H32" s="1114"/>
      <c r="I32" s="1114"/>
      <c r="J32" s="1128"/>
      <c r="K32" s="1112"/>
      <c r="L32" s="1112"/>
      <c r="M32" s="1112"/>
    </row>
    <row r="33" spans="1:13">
      <c r="A33" s="1112"/>
      <c r="B33" s="1148"/>
      <c r="C33" s="1114"/>
      <c r="D33" s="1114"/>
      <c r="E33" s="1114"/>
      <c r="F33" s="1114"/>
      <c r="G33" s="1114"/>
      <c r="H33" s="1114"/>
      <c r="I33" s="1114"/>
      <c r="J33" s="1128"/>
      <c r="K33" s="1112"/>
      <c r="L33" s="1112"/>
      <c r="M33" s="1112"/>
    </row>
    <row r="34" spans="1:13">
      <c r="A34" s="1112"/>
      <c r="B34" s="1148"/>
      <c r="C34" s="1114"/>
      <c r="D34" s="1114"/>
      <c r="E34" s="1114"/>
      <c r="F34" s="1114"/>
      <c r="G34" s="1114"/>
      <c r="H34" s="1114"/>
      <c r="I34" s="1114"/>
      <c r="J34" s="1128"/>
      <c r="K34" s="1112"/>
      <c r="L34" s="1112"/>
      <c r="M34" s="1112"/>
    </row>
    <row r="35" spans="1:13" ht="13.5" thickBot="1">
      <c r="A35" s="1112"/>
      <c r="B35" s="1150"/>
      <c r="C35" s="1133"/>
      <c r="D35" s="1133"/>
      <c r="E35" s="1133"/>
      <c r="F35" s="1133"/>
      <c r="G35" s="1133"/>
      <c r="H35" s="1133"/>
      <c r="I35" s="1133"/>
      <c r="J35" s="1134"/>
      <c r="K35" s="1112"/>
      <c r="L35" s="1112"/>
      <c r="M35" s="1112"/>
    </row>
    <row r="36" spans="1:13" ht="13.5" thickTop="1">
      <c r="A36" s="1112"/>
      <c r="B36" s="1139"/>
      <c r="C36" s="1112"/>
      <c r="D36" s="1112"/>
      <c r="E36" s="1112"/>
      <c r="F36" s="1112"/>
      <c r="G36" s="1112"/>
      <c r="H36" s="1112"/>
      <c r="I36" s="1112"/>
      <c r="J36" s="1112"/>
      <c r="K36" s="1112"/>
      <c r="L36" s="1112"/>
      <c r="M36" s="1112"/>
    </row>
    <row r="37" spans="1:13">
      <c r="A37" s="1112"/>
      <c r="B37" s="1139"/>
      <c r="C37" s="1112"/>
      <c r="D37" s="1112"/>
      <c r="E37" s="1112"/>
      <c r="F37" s="1112"/>
      <c r="G37" s="1112"/>
      <c r="H37" s="1112"/>
      <c r="I37" s="1112"/>
      <c r="J37" s="1112"/>
      <c r="K37" s="1112"/>
      <c r="L37" s="1112"/>
      <c r="M37" s="1112"/>
    </row>
    <row r="38" spans="1:13">
      <c r="A38" s="1112"/>
      <c r="B38" s="1139"/>
      <c r="C38" s="1112"/>
      <c r="D38" s="1112"/>
      <c r="E38" s="1112"/>
      <c r="F38" s="1112"/>
      <c r="G38" s="1112"/>
      <c r="H38" s="1112"/>
      <c r="I38" s="1112"/>
      <c r="J38" s="1112"/>
      <c r="K38" s="1112"/>
      <c r="L38" s="1112"/>
      <c r="M38" s="1112"/>
    </row>
    <row r="39" spans="1:13">
      <c r="A39" s="1112"/>
      <c r="B39" s="1139"/>
      <c r="C39" s="1112"/>
      <c r="D39" s="1112"/>
      <c r="E39" s="1112"/>
      <c r="F39" s="1112"/>
      <c r="G39" s="1112"/>
      <c r="H39" s="1112"/>
      <c r="I39" s="1112"/>
      <c r="J39" s="1112"/>
      <c r="K39" s="1112"/>
      <c r="L39" s="1112"/>
      <c r="M39" s="1112"/>
    </row>
    <row r="40" spans="1:13">
      <c r="A40" s="1112"/>
      <c r="B40" s="1139"/>
      <c r="C40" s="1112"/>
      <c r="D40" s="1112"/>
      <c r="E40" s="1112"/>
      <c r="F40" s="1112"/>
      <c r="G40" s="1112"/>
      <c r="H40" s="1112"/>
      <c r="I40" s="1112"/>
      <c r="J40" s="1112"/>
      <c r="K40" s="1112"/>
      <c r="L40" s="1112"/>
      <c r="M40" s="1112"/>
    </row>
    <row r="41" spans="1:13">
      <c r="A41" s="1112"/>
      <c r="B41" s="1139"/>
      <c r="C41" s="1112"/>
      <c r="D41" s="1112"/>
      <c r="E41" s="1112"/>
      <c r="F41" s="1112"/>
      <c r="G41" s="1112"/>
      <c r="H41" s="1112"/>
      <c r="I41" s="1112"/>
      <c r="J41" s="1112"/>
      <c r="K41" s="1112"/>
      <c r="L41" s="1112"/>
      <c r="M41" s="1112"/>
    </row>
    <row r="42" spans="1:13">
      <c r="A42" s="1112"/>
      <c r="B42" s="1139"/>
      <c r="C42" s="1112"/>
      <c r="D42" s="1112"/>
      <c r="E42" s="1112"/>
      <c r="F42" s="1112"/>
      <c r="G42" s="1112"/>
      <c r="H42" s="1112"/>
      <c r="I42" s="1112"/>
      <c r="J42" s="1112"/>
      <c r="K42" s="1112"/>
      <c r="L42" s="1112"/>
      <c r="M42" s="1112"/>
    </row>
    <row r="43" spans="1:13">
      <c r="A43" s="1112"/>
      <c r="B43" s="1139"/>
      <c r="C43" s="1112"/>
      <c r="D43" s="1112"/>
      <c r="E43" s="1112"/>
      <c r="F43" s="1112"/>
      <c r="G43" s="1112"/>
      <c r="H43" s="1112"/>
      <c r="I43" s="1112"/>
      <c r="J43" s="1112"/>
      <c r="K43" s="1112"/>
      <c r="L43" s="1112"/>
      <c r="M43" s="1112"/>
    </row>
    <row r="44" spans="1:13">
      <c r="A44" s="1112"/>
      <c r="B44" s="1139"/>
      <c r="C44" s="1112"/>
      <c r="D44" s="1112"/>
      <c r="E44" s="1112"/>
      <c r="F44" s="1112"/>
      <c r="G44" s="1112"/>
      <c r="H44" s="1112"/>
      <c r="I44" s="1112"/>
      <c r="J44" s="1112"/>
      <c r="K44" s="1112"/>
      <c r="L44" s="1112"/>
      <c r="M44" s="1112"/>
    </row>
    <row r="45" spans="1:13">
      <c r="A45" s="1112"/>
      <c r="B45" s="1139"/>
      <c r="C45" s="1112"/>
      <c r="D45" s="1112"/>
      <c r="E45" s="1112"/>
      <c r="F45" s="1112"/>
      <c r="G45" s="1112"/>
      <c r="H45" s="1112"/>
      <c r="I45" s="1112"/>
      <c r="J45" s="1112"/>
      <c r="K45" s="1112"/>
      <c r="L45" s="1112"/>
      <c r="M45" s="1112"/>
    </row>
    <row r="46" spans="1:13">
      <c r="A46" s="1112"/>
      <c r="B46" s="1139"/>
      <c r="C46" s="1112"/>
      <c r="D46" s="1112"/>
      <c r="E46" s="1112"/>
      <c r="F46" s="1112"/>
      <c r="G46" s="1112"/>
      <c r="H46" s="1112"/>
      <c r="I46" s="1112"/>
      <c r="J46" s="1112"/>
      <c r="K46" s="1112"/>
      <c r="L46" s="1112"/>
      <c r="M46" s="1112"/>
    </row>
    <row r="47" spans="1:13">
      <c r="A47" s="1112"/>
      <c r="B47" s="1139"/>
      <c r="C47" s="1112"/>
      <c r="D47" s="1112"/>
      <c r="E47" s="1112"/>
      <c r="F47" s="1112"/>
      <c r="G47" s="1112"/>
      <c r="H47" s="1112"/>
      <c r="I47" s="1112"/>
      <c r="J47" s="1112"/>
      <c r="K47" s="1112"/>
      <c r="L47" s="1112"/>
      <c r="M47" s="1112"/>
    </row>
    <row r="48" spans="1:13">
      <c r="A48" s="1112"/>
      <c r="B48" s="1139"/>
      <c r="C48" s="1112"/>
      <c r="D48" s="1112"/>
      <c r="E48" s="1112"/>
      <c r="F48" s="1112"/>
      <c r="G48" s="1112"/>
      <c r="H48" s="1112"/>
      <c r="I48" s="1112"/>
      <c r="J48" s="1112"/>
      <c r="K48" s="1112"/>
      <c r="L48" s="1112"/>
      <c r="M48" s="1112"/>
    </row>
    <row r="49" spans="1:13">
      <c r="A49" s="1112"/>
      <c r="B49" s="1139"/>
      <c r="C49" s="1112"/>
      <c r="D49" s="1112"/>
      <c r="E49" s="1112"/>
      <c r="F49" s="1112"/>
      <c r="G49" s="1112"/>
      <c r="H49" s="1112"/>
      <c r="I49" s="1112"/>
      <c r="J49" s="1112"/>
      <c r="K49" s="1112"/>
      <c r="L49" s="1112"/>
      <c r="M49" s="1112"/>
    </row>
    <row r="50" spans="1:13">
      <c r="A50" s="1112"/>
      <c r="B50" s="1139"/>
      <c r="C50" s="1112"/>
      <c r="D50" s="1112"/>
      <c r="E50" s="1112"/>
      <c r="F50" s="1112"/>
      <c r="G50" s="1112"/>
      <c r="H50" s="1112"/>
      <c r="I50" s="1112"/>
      <c r="J50" s="1112"/>
      <c r="K50" s="1112"/>
      <c r="L50" s="1112"/>
      <c r="M50" s="1112"/>
    </row>
    <row r="51" spans="1:13">
      <c r="A51" s="1112"/>
      <c r="B51" s="1112"/>
      <c r="C51" s="1112"/>
      <c r="D51" s="1112"/>
      <c r="E51" s="1112"/>
      <c r="F51" s="1112"/>
      <c r="G51" s="1112"/>
      <c r="H51" s="1112"/>
      <c r="I51" s="1112"/>
      <c r="J51" s="1112"/>
      <c r="K51" s="1112"/>
      <c r="L51" s="1112"/>
      <c r="M51" s="1112"/>
    </row>
    <row r="52" spans="1:13">
      <c r="A52" s="1112"/>
      <c r="B52" s="1112"/>
      <c r="C52" s="1112"/>
      <c r="D52" s="1112"/>
      <c r="E52" s="1112"/>
      <c r="F52" s="1112"/>
      <c r="G52" s="1112"/>
      <c r="H52" s="1112"/>
      <c r="I52" s="1112"/>
      <c r="J52" s="1112"/>
      <c r="K52" s="1112"/>
      <c r="L52" s="1112"/>
      <c r="M52" s="1112"/>
    </row>
    <row r="53" spans="1:13">
      <c r="A53" s="1112"/>
      <c r="B53" s="1112"/>
      <c r="C53" s="1112"/>
      <c r="D53" s="1112"/>
      <c r="E53" s="1112"/>
      <c r="F53" s="1112"/>
      <c r="G53" s="1112"/>
      <c r="H53" s="1112"/>
      <c r="I53" s="1112"/>
      <c r="J53" s="1112"/>
      <c r="K53" s="1112"/>
      <c r="L53" s="1112"/>
      <c r="M53" s="1112"/>
    </row>
    <row r="54" spans="1:13">
      <c r="A54" s="1112"/>
      <c r="B54" s="1112"/>
      <c r="C54" s="1112"/>
      <c r="D54" s="1112"/>
      <c r="E54" s="1112"/>
      <c r="F54" s="1112"/>
      <c r="G54" s="1112"/>
      <c r="H54" s="1112"/>
      <c r="I54" s="1112"/>
      <c r="J54" s="1112"/>
      <c r="K54" s="1112"/>
      <c r="L54" s="1112"/>
      <c r="M54" s="1112"/>
    </row>
    <row r="55" spans="1:13">
      <c r="A55" s="1112"/>
      <c r="B55" s="1112"/>
      <c r="C55" s="1112"/>
      <c r="D55" s="1112"/>
      <c r="E55" s="1112"/>
      <c r="F55" s="1112"/>
      <c r="G55" s="1112"/>
      <c r="H55" s="1112"/>
      <c r="I55" s="1112"/>
      <c r="J55" s="1112"/>
      <c r="K55" s="1112"/>
      <c r="L55" s="1112"/>
      <c r="M55" s="1112"/>
    </row>
    <row r="56" spans="1:13">
      <c r="A56" s="1112"/>
      <c r="B56" s="1112"/>
      <c r="C56" s="1112"/>
      <c r="D56" s="1112"/>
      <c r="E56" s="1112"/>
      <c r="F56" s="1112"/>
      <c r="G56" s="1112"/>
      <c r="H56" s="1112"/>
      <c r="I56" s="1112"/>
      <c r="J56" s="1112"/>
      <c r="K56" s="1112"/>
      <c r="L56" s="1112"/>
      <c r="M56" s="1112"/>
    </row>
    <row r="57" spans="1:13">
      <c r="A57" s="1112"/>
      <c r="B57" s="1112"/>
      <c r="C57" s="1112"/>
      <c r="D57" s="1112"/>
      <c r="E57" s="1112"/>
      <c r="F57" s="1112"/>
      <c r="G57" s="1112"/>
      <c r="H57" s="1112"/>
      <c r="I57" s="1112"/>
      <c r="J57" s="1112"/>
      <c r="K57" s="1112"/>
      <c r="L57" s="1112"/>
      <c r="M57" s="1112"/>
    </row>
    <row r="58" spans="1:13">
      <c r="A58" s="1112"/>
      <c r="B58" s="1112"/>
      <c r="C58" s="1112"/>
      <c r="D58" s="1112"/>
      <c r="E58" s="1112"/>
      <c r="F58" s="1112"/>
      <c r="G58" s="1112"/>
      <c r="H58" s="1112"/>
      <c r="I58" s="1112"/>
      <c r="J58" s="1112"/>
      <c r="K58" s="1112"/>
      <c r="L58" s="1112"/>
      <c r="M58" s="1112"/>
    </row>
    <row r="59" spans="1:13">
      <c r="A59" s="1112"/>
      <c r="B59" s="1112"/>
      <c r="C59" s="1112"/>
      <c r="D59" s="1112"/>
      <c r="E59" s="1112"/>
      <c r="F59" s="1112"/>
      <c r="G59" s="1112"/>
      <c r="H59" s="1112"/>
      <c r="I59" s="1112"/>
      <c r="J59" s="1112"/>
      <c r="K59" s="1112"/>
      <c r="L59" s="1112"/>
      <c r="M59" s="1112"/>
    </row>
    <row r="60" spans="1:13">
      <c r="A60" s="1112"/>
      <c r="B60" s="1112"/>
      <c r="C60" s="1112"/>
      <c r="D60" s="1112"/>
      <c r="E60" s="1112"/>
      <c r="F60" s="1112"/>
      <c r="G60" s="1112"/>
      <c r="H60" s="1112"/>
      <c r="I60" s="1112"/>
      <c r="J60" s="1112"/>
      <c r="K60" s="1112"/>
      <c r="L60" s="1112"/>
      <c r="M60" s="1112"/>
    </row>
    <row r="61" spans="1:13">
      <c r="A61" s="1112"/>
      <c r="B61" s="1112"/>
      <c r="C61" s="1112"/>
      <c r="D61" s="1112"/>
      <c r="E61" s="1112"/>
      <c r="F61" s="1112"/>
      <c r="G61" s="1112"/>
      <c r="H61" s="1112"/>
      <c r="I61" s="1112"/>
      <c r="J61" s="1112"/>
      <c r="K61" s="1112"/>
      <c r="L61" s="1112"/>
      <c r="M61" s="1112"/>
    </row>
    <row r="62" spans="1:13">
      <c r="A62" s="1112"/>
      <c r="B62" s="1112"/>
      <c r="C62" s="1112"/>
      <c r="D62" s="1112"/>
      <c r="E62" s="1112"/>
      <c r="F62" s="1112"/>
      <c r="G62" s="1112"/>
      <c r="H62" s="1112"/>
      <c r="I62" s="1112"/>
      <c r="J62" s="1112"/>
      <c r="K62" s="1112"/>
      <c r="L62" s="1112"/>
      <c r="M62" s="1112"/>
    </row>
    <row r="63" spans="1:13">
      <c r="A63" s="1112"/>
      <c r="B63" s="1112"/>
      <c r="C63" s="1112"/>
      <c r="D63" s="1112"/>
      <c r="E63" s="1112"/>
      <c r="F63" s="1112"/>
      <c r="G63" s="1112"/>
      <c r="H63" s="1112"/>
      <c r="I63" s="1112"/>
      <c r="J63" s="1112"/>
      <c r="K63" s="1112"/>
      <c r="L63" s="1112"/>
      <c r="M63" s="1112"/>
    </row>
    <row r="64" spans="1:13">
      <c r="A64" s="1112"/>
      <c r="B64" s="1112"/>
      <c r="C64" s="1112"/>
      <c r="D64" s="1112"/>
      <c r="E64" s="1112"/>
      <c r="F64" s="1112"/>
      <c r="G64" s="1112"/>
      <c r="H64" s="1112"/>
      <c r="I64" s="1112"/>
      <c r="J64" s="1112"/>
      <c r="K64" s="1112"/>
      <c r="L64" s="1112"/>
      <c r="M64" s="1112"/>
    </row>
    <row r="65" spans="1:13">
      <c r="A65" s="1112"/>
      <c r="B65" s="1112"/>
      <c r="C65" s="1112"/>
      <c r="D65" s="1112"/>
      <c r="E65" s="1112"/>
      <c r="F65" s="1112"/>
      <c r="G65" s="1112"/>
      <c r="H65" s="1112"/>
      <c r="I65" s="1112"/>
      <c r="J65" s="1112"/>
      <c r="K65" s="1112"/>
      <c r="L65" s="1112"/>
      <c r="M65" s="1112"/>
    </row>
    <row r="66" spans="1:13">
      <c r="A66" s="1112"/>
      <c r="B66" s="1112"/>
      <c r="C66" s="1112"/>
      <c r="D66" s="1112"/>
      <c r="E66" s="1112"/>
      <c r="F66" s="1112"/>
      <c r="G66" s="1112"/>
      <c r="H66" s="1112"/>
      <c r="I66" s="1112"/>
      <c r="J66" s="1112"/>
      <c r="K66" s="1112"/>
      <c r="L66" s="1112"/>
      <c r="M66" s="1112"/>
    </row>
    <row r="67" spans="1:13">
      <c r="A67" s="1112"/>
      <c r="B67" s="1112"/>
      <c r="C67" s="1112"/>
      <c r="D67" s="1112"/>
      <c r="E67" s="1112"/>
      <c r="F67" s="1112"/>
      <c r="G67" s="1112"/>
      <c r="H67" s="1112"/>
      <c r="I67" s="1112"/>
      <c r="J67" s="1112"/>
      <c r="K67" s="1112"/>
      <c r="L67" s="1112"/>
      <c r="M67" s="1112"/>
    </row>
    <row r="68" spans="1:13">
      <c r="A68" s="1112"/>
      <c r="B68" s="1112"/>
      <c r="C68" s="1112"/>
      <c r="D68" s="1112"/>
      <c r="E68" s="1112"/>
      <c r="F68" s="1112"/>
      <c r="G68" s="1112"/>
      <c r="H68" s="1112"/>
      <c r="I68" s="1112"/>
      <c r="J68" s="1112"/>
      <c r="K68" s="1112"/>
      <c r="L68" s="1112"/>
      <c r="M68" s="1112"/>
    </row>
    <row r="69" spans="1:13">
      <c r="A69" s="1112"/>
      <c r="B69" s="1112"/>
      <c r="C69" s="1112"/>
      <c r="D69" s="1112"/>
      <c r="E69" s="1112"/>
      <c r="F69" s="1112"/>
      <c r="G69" s="1112"/>
      <c r="H69" s="1112"/>
      <c r="I69" s="1112"/>
      <c r="J69" s="1112"/>
      <c r="K69" s="1112"/>
      <c r="L69" s="1112"/>
      <c r="M69" s="1112"/>
    </row>
    <row r="70" spans="1:13">
      <c r="A70" s="1112"/>
      <c r="B70" s="1112"/>
      <c r="C70" s="1112"/>
      <c r="D70" s="1112"/>
      <c r="E70" s="1112"/>
      <c r="F70" s="1112"/>
      <c r="G70" s="1112"/>
      <c r="H70" s="1112"/>
      <c r="I70" s="1112"/>
      <c r="J70" s="1112"/>
      <c r="K70" s="1112"/>
      <c r="L70" s="1112"/>
      <c r="M70" s="1112"/>
    </row>
    <row r="71" spans="1:13">
      <c r="A71" s="1112"/>
      <c r="B71" s="1112"/>
      <c r="C71" s="1112"/>
      <c r="D71" s="1112"/>
      <c r="E71" s="1112"/>
      <c r="F71" s="1112"/>
      <c r="G71" s="1112"/>
      <c r="H71" s="1112"/>
      <c r="I71" s="1112"/>
      <c r="J71" s="1112"/>
      <c r="K71" s="1112"/>
      <c r="L71" s="1112"/>
      <c r="M71" s="1112"/>
    </row>
    <row r="72" spans="1:13">
      <c r="A72" s="1112"/>
      <c r="B72" s="1112"/>
      <c r="C72" s="1112"/>
      <c r="D72" s="1112"/>
      <c r="E72" s="1112"/>
      <c r="F72" s="1112"/>
      <c r="G72" s="1112"/>
      <c r="H72" s="1112"/>
      <c r="I72" s="1112"/>
      <c r="J72" s="1112"/>
      <c r="K72" s="1112"/>
      <c r="L72" s="1112"/>
      <c r="M72" s="1112"/>
    </row>
    <row r="73" spans="1:13">
      <c r="A73" s="1112"/>
      <c r="B73" s="1112"/>
      <c r="C73" s="1112"/>
      <c r="D73" s="1112"/>
      <c r="E73" s="1112"/>
      <c r="F73" s="1112"/>
      <c r="G73" s="1112"/>
      <c r="H73" s="1112"/>
      <c r="I73" s="1112"/>
      <c r="J73" s="1112"/>
      <c r="K73" s="1112"/>
      <c r="L73" s="1112"/>
      <c r="M73" s="1112"/>
    </row>
    <row r="74" spans="1:13">
      <c r="A74" s="1112"/>
      <c r="B74" s="1112"/>
      <c r="C74" s="1112"/>
      <c r="D74" s="1112"/>
      <c r="E74" s="1112"/>
      <c r="F74" s="1112"/>
      <c r="G74" s="1112"/>
      <c r="H74" s="1112"/>
      <c r="I74" s="1112"/>
      <c r="J74" s="1112"/>
      <c r="K74" s="1112"/>
      <c r="L74" s="1112"/>
      <c r="M74" s="1112"/>
    </row>
    <row r="75" spans="1:13">
      <c r="A75" s="1112"/>
      <c r="B75" s="1112"/>
      <c r="C75" s="1112"/>
      <c r="D75" s="1112"/>
      <c r="E75" s="1112"/>
      <c r="F75" s="1112"/>
      <c r="G75" s="1112"/>
      <c r="H75" s="1112"/>
      <c r="I75" s="1112"/>
      <c r="J75" s="1112"/>
      <c r="K75" s="1112"/>
      <c r="L75" s="1112"/>
      <c r="M75" s="1112"/>
    </row>
    <row r="76" spans="1:13">
      <c r="A76" s="1112"/>
      <c r="B76" s="1112"/>
      <c r="C76" s="1112"/>
      <c r="D76" s="1112"/>
      <c r="E76" s="1112"/>
      <c r="F76" s="1112"/>
      <c r="G76" s="1112"/>
      <c r="H76" s="1112"/>
      <c r="I76" s="1112"/>
      <c r="J76" s="1112"/>
      <c r="K76" s="1112"/>
      <c r="L76" s="1112"/>
      <c r="M76" s="1112"/>
    </row>
    <row r="77" spans="1:13">
      <c r="A77" s="1112"/>
      <c r="B77" s="1112"/>
      <c r="C77" s="1112"/>
      <c r="D77" s="1112"/>
      <c r="E77" s="1112"/>
      <c r="F77" s="1112"/>
      <c r="G77" s="1112"/>
      <c r="H77" s="1112"/>
      <c r="I77" s="1112"/>
      <c r="J77" s="1112"/>
      <c r="K77" s="1112"/>
      <c r="L77" s="1112"/>
      <c r="M77" s="1112"/>
    </row>
    <row r="78" spans="1:13">
      <c r="A78" s="1112"/>
      <c r="B78" s="1112"/>
      <c r="C78" s="1112"/>
      <c r="D78" s="1112"/>
      <c r="E78" s="1112"/>
      <c r="F78" s="1112"/>
      <c r="G78" s="1112"/>
      <c r="H78" s="1112"/>
      <c r="I78" s="1112"/>
      <c r="J78" s="1112"/>
      <c r="K78" s="1112"/>
      <c r="L78" s="1112"/>
      <c r="M78" s="1112"/>
    </row>
    <row r="79" spans="1:13">
      <c r="A79" s="1112"/>
      <c r="B79" s="1112"/>
      <c r="C79" s="1112"/>
      <c r="D79" s="1112"/>
      <c r="E79" s="1112"/>
      <c r="F79" s="1112"/>
      <c r="G79" s="1112"/>
      <c r="H79" s="1112"/>
      <c r="I79" s="1112"/>
      <c r="J79" s="1112"/>
      <c r="K79" s="1112"/>
      <c r="L79" s="1112"/>
      <c r="M79" s="1112"/>
    </row>
    <row r="80" spans="1:13">
      <c r="A80" s="1112"/>
      <c r="B80" s="1112"/>
      <c r="C80" s="1112"/>
      <c r="D80" s="1112"/>
      <c r="E80" s="1112"/>
      <c r="F80" s="1112"/>
      <c r="G80" s="1112"/>
      <c r="H80" s="1112"/>
      <c r="I80" s="1112"/>
      <c r="J80" s="1112"/>
      <c r="K80" s="1112"/>
      <c r="L80" s="1112"/>
      <c r="M80" s="1112"/>
    </row>
    <row r="81" spans="1:13">
      <c r="A81" s="1112"/>
      <c r="B81" s="1112"/>
      <c r="C81" s="1112"/>
      <c r="D81" s="1112"/>
      <c r="E81" s="1112"/>
      <c r="F81" s="1112"/>
      <c r="G81" s="1112"/>
      <c r="H81" s="1112"/>
      <c r="I81" s="1112"/>
      <c r="J81" s="1112"/>
      <c r="K81" s="1112"/>
      <c r="L81" s="1112"/>
      <c r="M81" s="1112"/>
    </row>
    <row r="82" spans="1:13">
      <c r="A82" s="1112"/>
      <c r="B82" s="1112"/>
      <c r="C82" s="1112"/>
      <c r="D82" s="1112"/>
      <c r="E82" s="1112"/>
      <c r="F82" s="1112"/>
      <c r="G82" s="1112"/>
      <c r="H82" s="1112"/>
      <c r="I82" s="1112"/>
      <c r="J82" s="1112"/>
      <c r="K82" s="1112"/>
      <c r="L82" s="1112"/>
      <c r="M82" s="1112"/>
    </row>
    <row r="83" spans="1:13">
      <c r="A83" s="1112"/>
      <c r="B83" s="1112"/>
      <c r="C83" s="1112"/>
      <c r="D83" s="1112"/>
      <c r="E83" s="1112"/>
      <c r="F83" s="1112"/>
      <c r="G83" s="1112"/>
      <c r="H83" s="1112"/>
      <c r="I83" s="1112"/>
      <c r="J83" s="1112"/>
      <c r="K83" s="1112"/>
      <c r="L83" s="1112"/>
      <c r="M83" s="1112"/>
    </row>
    <row r="84" spans="1:13">
      <c r="A84" s="1112"/>
      <c r="B84" s="1112"/>
      <c r="C84" s="1112"/>
      <c r="D84" s="1112"/>
      <c r="E84" s="1112"/>
      <c r="F84" s="1112"/>
      <c r="G84" s="1112"/>
      <c r="H84" s="1112"/>
      <c r="I84" s="1112"/>
      <c r="J84" s="1112"/>
      <c r="K84" s="1112"/>
      <c r="L84" s="1112"/>
      <c r="M84" s="1112"/>
    </row>
    <row r="85" spans="1:13">
      <c r="A85" s="1112"/>
      <c r="B85" s="1112"/>
      <c r="C85" s="1112"/>
      <c r="D85" s="1112"/>
      <c r="E85" s="1112"/>
      <c r="F85" s="1112"/>
      <c r="G85" s="1112"/>
      <c r="H85" s="1112"/>
      <c r="I85" s="1112"/>
      <c r="J85" s="1112"/>
      <c r="K85" s="1112"/>
      <c r="L85" s="1112"/>
      <c r="M85" s="1112"/>
    </row>
    <row r="86" spans="1:13">
      <c r="A86" s="1112"/>
      <c r="B86" s="1112"/>
      <c r="C86" s="1112"/>
      <c r="D86" s="1112"/>
      <c r="E86" s="1112"/>
      <c r="F86" s="1112"/>
      <c r="G86" s="1112"/>
      <c r="H86" s="1112"/>
      <c r="I86" s="1112"/>
      <c r="J86" s="1112"/>
      <c r="K86" s="1112"/>
      <c r="L86" s="1112"/>
      <c r="M86" s="1112"/>
    </row>
    <row r="87" spans="1:13">
      <c r="A87" s="1112"/>
      <c r="B87" s="1112"/>
      <c r="C87" s="1112"/>
      <c r="D87" s="1112"/>
      <c r="E87" s="1112"/>
      <c r="F87" s="1112"/>
      <c r="G87" s="1112"/>
      <c r="H87" s="1112"/>
      <c r="I87" s="1112"/>
      <c r="J87" s="1112"/>
      <c r="K87" s="1112"/>
      <c r="L87" s="1112"/>
      <c r="M87" s="1112"/>
    </row>
    <row r="88" spans="1:13">
      <c r="A88" s="1112"/>
      <c r="B88" s="1112"/>
      <c r="C88" s="1112"/>
      <c r="D88" s="1112"/>
      <c r="E88" s="1112"/>
      <c r="F88" s="1112"/>
      <c r="G88" s="1112"/>
      <c r="H88" s="1112"/>
      <c r="I88" s="1112"/>
      <c r="J88" s="1112"/>
      <c r="K88" s="1112"/>
      <c r="L88" s="1112"/>
      <c r="M88" s="1112"/>
    </row>
    <row r="89" spans="1:13">
      <c r="A89" s="1112"/>
      <c r="B89" s="1112"/>
      <c r="C89" s="1112"/>
      <c r="D89" s="1112"/>
      <c r="E89" s="1112"/>
      <c r="F89" s="1112"/>
      <c r="G89" s="1112"/>
      <c r="H89" s="1112"/>
      <c r="I89" s="1112"/>
      <c r="J89" s="1112"/>
      <c r="K89" s="1112"/>
      <c r="L89" s="1112"/>
      <c r="M89" s="1112"/>
    </row>
    <row r="90" spans="1:13">
      <c r="A90" s="1112"/>
      <c r="B90" s="1112"/>
      <c r="C90" s="1112"/>
      <c r="D90" s="1112"/>
      <c r="E90" s="1112"/>
      <c r="F90" s="1112"/>
      <c r="G90" s="1112"/>
      <c r="H90" s="1112"/>
      <c r="I90" s="1112"/>
      <c r="J90" s="1112"/>
      <c r="K90" s="1112"/>
      <c r="L90" s="1112"/>
      <c r="M90" s="1112"/>
    </row>
    <row r="91" spans="1:13">
      <c r="A91" s="1112"/>
      <c r="B91" s="1112"/>
      <c r="C91" s="1112"/>
      <c r="D91" s="1112"/>
      <c r="E91" s="1112"/>
      <c r="F91" s="1112"/>
      <c r="G91" s="1112"/>
      <c r="H91" s="1112"/>
      <c r="I91" s="1112"/>
      <c r="J91" s="1112"/>
      <c r="K91" s="1112"/>
      <c r="L91" s="1112"/>
      <c r="M91" s="1112"/>
    </row>
    <row r="92" spans="1:13">
      <c r="A92" s="1112"/>
      <c r="B92" s="1112"/>
      <c r="C92" s="1112"/>
      <c r="D92" s="1112"/>
      <c r="E92" s="1112"/>
      <c r="F92" s="1112"/>
      <c r="G92" s="1112"/>
      <c r="H92" s="1112"/>
      <c r="I92" s="1112"/>
      <c r="J92" s="1112"/>
      <c r="K92" s="1112"/>
      <c r="L92" s="1112"/>
      <c r="M92" s="1112"/>
    </row>
    <row r="93" spans="1:13">
      <c r="A93" s="1112"/>
      <c r="B93" s="1112"/>
      <c r="C93" s="1112"/>
      <c r="D93" s="1112"/>
      <c r="E93" s="1112"/>
      <c r="F93" s="1112"/>
      <c r="G93" s="1112"/>
      <c r="H93" s="1112"/>
      <c r="I93" s="1112"/>
      <c r="J93" s="1112"/>
      <c r="K93" s="1112"/>
      <c r="L93" s="1112"/>
      <c r="M93" s="1112"/>
    </row>
    <row r="94" spans="1:13">
      <c r="A94" s="1112"/>
      <c r="B94" s="1112"/>
      <c r="C94" s="1112"/>
      <c r="D94" s="1112"/>
      <c r="E94" s="1112"/>
      <c r="F94" s="1112"/>
      <c r="G94" s="1112"/>
      <c r="H94" s="1112"/>
      <c r="I94" s="1112"/>
      <c r="J94" s="1112"/>
      <c r="K94" s="1112"/>
      <c r="L94" s="1112"/>
      <c r="M94" s="1112"/>
    </row>
    <row r="95" spans="1:13">
      <c r="A95" s="1112"/>
      <c r="B95" s="1112"/>
      <c r="C95" s="1112"/>
      <c r="D95" s="1112"/>
      <c r="E95" s="1112"/>
      <c r="F95" s="1112"/>
      <c r="G95" s="1112"/>
      <c r="H95" s="1112"/>
      <c r="I95" s="1112"/>
      <c r="J95" s="1112"/>
      <c r="K95" s="1112"/>
      <c r="L95" s="1112"/>
      <c r="M95" s="1112"/>
    </row>
    <row r="96" spans="1:13">
      <c r="A96" s="1112"/>
      <c r="B96" s="1112"/>
      <c r="C96" s="1112"/>
      <c r="D96" s="1112"/>
      <c r="E96" s="1112"/>
      <c r="F96" s="1112"/>
      <c r="G96" s="1112"/>
      <c r="H96" s="1112"/>
      <c r="I96" s="1112"/>
      <c r="J96" s="1112"/>
      <c r="K96" s="1112"/>
      <c r="L96" s="1112"/>
      <c r="M96" s="1112"/>
    </row>
    <row r="97" spans="1:13">
      <c r="A97" s="1112"/>
      <c r="B97" s="1112"/>
      <c r="C97" s="1112"/>
      <c r="D97" s="1112"/>
      <c r="E97" s="1112"/>
      <c r="F97" s="1112"/>
      <c r="G97" s="1112"/>
      <c r="H97" s="1112"/>
      <c r="I97" s="1112"/>
      <c r="J97" s="1112"/>
      <c r="K97" s="1112"/>
      <c r="L97" s="1112"/>
      <c r="M97" s="1112"/>
    </row>
    <row r="98" spans="1:13">
      <c r="A98" s="1112"/>
      <c r="B98" s="1112"/>
      <c r="C98" s="1112"/>
      <c r="D98" s="1112"/>
      <c r="E98" s="1112"/>
      <c r="F98" s="1112"/>
      <c r="G98" s="1112"/>
      <c r="H98" s="1112"/>
      <c r="I98" s="1112"/>
      <c r="J98" s="1112"/>
      <c r="K98" s="1112"/>
      <c r="L98" s="1112"/>
      <c r="M98" s="1112"/>
    </row>
    <row r="99" spans="1:13">
      <c r="A99" s="1112"/>
      <c r="B99" s="1112"/>
      <c r="C99" s="1112"/>
      <c r="D99" s="1112"/>
      <c r="E99" s="1112"/>
      <c r="F99" s="1112"/>
      <c r="G99" s="1112"/>
      <c r="H99" s="1112"/>
      <c r="I99" s="1112"/>
      <c r="J99" s="1112"/>
      <c r="K99" s="1112"/>
      <c r="L99" s="1112"/>
      <c r="M99" s="1112"/>
    </row>
    <row r="100" spans="1:13">
      <c r="A100" s="1112"/>
      <c r="B100" s="1112"/>
      <c r="C100" s="1112"/>
      <c r="D100" s="1112"/>
      <c r="E100" s="1112"/>
      <c r="F100" s="1112"/>
      <c r="G100" s="1112"/>
      <c r="H100" s="1112"/>
      <c r="I100" s="1112"/>
      <c r="J100" s="1112"/>
      <c r="K100" s="1112"/>
      <c r="L100" s="1112"/>
      <c r="M100" s="1112"/>
    </row>
    <row r="101" spans="1:13">
      <c r="A101" s="1112"/>
      <c r="B101" s="1112"/>
      <c r="C101" s="1112"/>
      <c r="D101" s="1112"/>
      <c r="E101" s="1112"/>
      <c r="F101" s="1112"/>
      <c r="G101" s="1112"/>
      <c r="H101" s="1112"/>
      <c r="I101" s="1112"/>
      <c r="J101" s="1112"/>
      <c r="K101" s="1112"/>
      <c r="L101" s="1112"/>
      <c r="M101" s="1112"/>
    </row>
    <row r="102" spans="1:13">
      <c r="A102" s="1112"/>
      <c r="B102" s="1112"/>
      <c r="C102" s="1112"/>
      <c r="D102" s="1112"/>
      <c r="E102" s="1112"/>
      <c r="F102" s="1112"/>
      <c r="G102" s="1112"/>
      <c r="H102" s="1112"/>
      <c r="I102" s="1112"/>
      <c r="J102" s="1112"/>
      <c r="K102" s="1112"/>
      <c r="L102" s="1112"/>
      <c r="M102" s="1112"/>
    </row>
    <row r="103" spans="1:13">
      <c r="A103" s="1112"/>
      <c r="B103" s="1112"/>
      <c r="C103" s="1112"/>
      <c r="D103" s="1112"/>
      <c r="E103" s="1112"/>
      <c r="F103" s="1112"/>
      <c r="G103" s="1112"/>
      <c r="H103" s="1112"/>
      <c r="I103" s="1112"/>
      <c r="J103" s="1112"/>
      <c r="K103" s="1112"/>
      <c r="L103" s="1112"/>
      <c r="M103" s="1112"/>
    </row>
    <row r="104" spans="1:13">
      <c r="A104" s="1112"/>
      <c r="B104" s="1112"/>
      <c r="C104" s="1112"/>
      <c r="D104" s="1112"/>
      <c r="E104" s="1112"/>
      <c r="F104" s="1112"/>
      <c r="G104" s="1112"/>
      <c r="H104" s="1112"/>
      <c r="I104" s="1112"/>
      <c r="J104" s="1112"/>
      <c r="K104" s="1112"/>
      <c r="L104" s="1112"/>
      <c r="M104" s="1112"/>
    </row>
    <row r="105" spans="1:13">
      <c r="A105" s="1112"/>
      <c r="B105" s="1112"/>
      <c r="C105" s="1112"/>
      <c r="D105" s="1112"/>
      <c r="E105" s="1112"/>
      <c r="F105" s="1112"/>
      <c r="G105" s="1112"/>
      <c r="H105" s="1112"/>
      <c r="I105" s="1112"/>
      <c r="J105" s="1112"/>
      <c r="K105" s="1112"/>
      <c r="L105" s="1112"/>
      <c r="M105" s="1112"/>
    </row>
    <row r="106" spans="1:13">
      <c r="A106" s="1112"/>
      <c r="B106" s="1112"/>
      <c r="C106" s="1112"/>
      <c r="D106" s="1112"/>
      <c r="E106" s="1112"/>
      <c r="F106" s="1112"/>
      <c r="G106" s="1112"/>
      <c r="H106" s="1112"/>
      <c r="I106" s="1112"/>
      <c r="J106" s="1112"/>
      <c r="K106" s="1112"/>
      <c r="L106" s="1112"/>
      <c r="M106" s="1112"/>
    </row>
    <row r="107" spans="1:13">
      <c r="A107" s="1112"/>
      <c r="B107" s="1112"/>
      <c r="C107" s="1112"/>
      <c r="D107" s="1112"/>
      <c r="E107" s="1112"/>
      <c r="F107" s="1112"/>
      <c r="G107" s="1112"/>
      <c r="H107" s="1112"/>
      <c r="I107" s="1112"/>
      <c r="J107" s="1112"/>
      <c r="K107" s="1112"/>
      <c r="L107" s="1112"/>
      <c r="M107" s="1112"/>
    </row>
    <row r="108" spans="1:13">
      <c r="A108" s="1112"/>
      <c r="B108" s="1112"/>
      <c r="C108" s="1112"/>
      <c r="D108" s="1112"/>
      <c r="E108" s="1112"/>
      <c r="F108" s="1112"/>
      <c r="G108" s="1112"/>
      <c r="H108" s="1112"/>
      <c r="I108" s="1112"/>
      <c r="J108" s="1112"/>
      <c r="K108" s="1112"/>
      <c r="L108" s="1112"/>
      <c r="M108" s="1112"/>
    </row>
    <row r="109" spans="1:13">
      <c r="A109" s="1112"/>
      <c r="B109" s="1112"/>
      <c r="C109" s="1112"/>
      <c r="D109" s="1112"/>
      <c r="E109" s="1112"/>
      <c r="F109" s="1112"/>
      <c r="G109" s="1112"/>
      <c r="H109" s="1112"/>
      <c r="I109" s="1112"/>
      <c r="J109" s="1112"/>
      <c r="K109" s="1112"/>
      <c r="L109" s="1112"/>
      <c r="M109" s="1112"/>
    </row>
    <row r="110" spans="1:13">
      <c r="A110" s="1112"/>
      <c r="B110" s="1112"/>
      <c r="C110" s="1112"/>
      <c r="D110" s="1112"/>
      <c r="E110" s="1112"/>
      <c r="F110" s="1112"/>
      <c r="G110" s="1112"/>
      <c r="H110" s="1112"/>
      <c r="I110" s="1112"/>
      <c r="J110" s="1112"/>
      <c r="K110" s="1112"/>
      <c r="L110" s="1112"/>
      <c r="M110" s="1112"/>
    </row>
    <row r="111" spans="1:13">
      <c r="A111" s="1112"/>
      <c r="B111" s="1112"/>
      <c r="C111" s="1112"/>
      <c r="D111" s="1112"/>
      <c r="E111" s="1112"/>
      <c r="F111" s="1112"/>
      <c r="G111" s="1112"/>
      <c r="H111" s="1112"/>
      <c r="I111" s="1112"/>
      <c r="J111" s="1112"/>
      <c r="K111" s="1112"/>
      <c r="L111" s="1112"/>
      <c r="M111" s="1112"/>
    </row>
    <row r="112" spans="1:13">
      <c r="A112" s="1112"/>
      <c r="B112" s="1112"/>
      <c r="C112" s="1112"/>
      <c r="D112" s="1112"/>
      <c r="E112" s="1112"/>
      <c r="F112" s="1112"/>
      <c r="G112" s="1112"/>
      <c r="H112" s="1112"/>
      <c r="I112" s="1112"/>
      <c r="J112" s="1112"/>
      <c r="K112" s="1112"/>
      <c r="L112" s="1112"/>
      <c r="M112" s="1112"/>
    </row>
    <row r="113" spans="1:13">
      <c r="A113" s="1112"/>
      <c r="B113" s="1112"/>
      <c r="C113" s="1112"/>
      <c r="D113" s="1112"/>
      <c r="E113" s="1112"/>
      <c r="F113" s="1112"/>
      <c r="G113" s="1112"/>
      <c r="H113" s="1112"/>
      <c r="I113" s="1112"/>
      <c r="J113" s="1112"/>
      <c r="K113" s="1112"/>
      <c r="L113" s="1112"/>
      <c r="M113" s="1112"/>
    </row>
    <row r="114" spans="1:13">
      <c r="A114" s="1112"/>
      <c r="B114" s="1112"/>
      <c r="C114" s="1112"/>
      <c r="D114" s="1112"/>
      <c r="E114" s="1112"/>
      <c r="F114" s="1112"/>
      <c r="G114" s="1112"/>
      <c r="H114" s="1112"/>
      <c r="I114" s="1112"/>
      <c r="J114" s="1112"/>
      <c r="K114" s="1112"/>
      <c r="L114" s="1112"/>
      <c r="M114" s="1112"/>
    </row>
    <row r="115" spans="1:13">
      <c r="A115" s="1112"/>
      <c r="B115" s="1112"/>
      <c r="C115" s="1112"/>
      <c r="D115" s="1112"/>
      <c r="E115" s="1112"/>
      <c r="F115" s="1112"/>
      <c r="G115" s="1112"/>
      <c r="H115" s="1112"/>
      <c r="I115" s="1112"/>
      <c r="J115" s="1112"/>
      <c r="K115" s="1112"/>
      <c r="L115" s="1112"/>
      <c r="M115" s="1112"/>
    </row>
    <row r="116" spans="1:13">
      <c r="A116" s="1112"/>
      <c r="B116" s="1112"/>
      <c r="C116" s="1112"/>
      <c r="D116" s="1112"/>
      <c r="E116" s="1112"/>
      <c r="F116" s="1112"/>
      <c r="G116" s="1112"/>
      <c r="H116" s="1112"/>
      <c r="I116" s="1112"/>
      <c r="J116" s="1112"/>
      <c r="K116" s="1112"/>
      <c r="L116" s="1112"/>
      <c r="M116" s="1112"/>
    </row>
    <row r="117" spans="1:13">
      <c r="A117" s="1112"/>
      <c r="B117" s="1112"/>
      <c r="C117" s="1112"/>
      <c r="D117" s="1112"/>
      <c r="E117" s="1112"/>
      <c r="F117" s="1112"/>
      <c r="G117" s="1112"/>
      <c r="H117" s="1112"/>
      <c r="I117" s="1112"/>
      <c r="J117" s="1112"/>
      <c r="K117" s="1112"/>
      <c r="L117" s="1112"/>
      <c r="M117" s="1112"/>
    </row>
    <row r="118" spans="1:13">
      <c r="A118" s="1112"/>
      <c r="B118" s="1112"/>
      <c r="C118" s="1112"/>
      <c r="D118" s="1112"/>
      <c r="E118" s="1112"/>
      <c r="F118" s="1112"/>
      <c r="G118" s="1112"/>
      <c r="H118" s="1112"/>
      <c r="I118" s="1112"/>
      <c r="J118" s="1112"/>
      <c r="K118" s="1112"/>
      <c r="L118" s="1112"/>
      <c r="M118" s="1112"/>
    </row>
    <row r="119" spans="1:13">
      <c r="A119" s="1112"/>
      <c r="B119" s="1112"/>
      <c r="C119" s="1112"/>
      <c r="D119" s="1112"/>
      <c r="E119" s="1112"/>
      <c r="F119" s="1112"/>
      <c r="G119" s="1112"/>
      <c r="H119" s="1112"/>
      <c r="I119" s="1112"/>
      <c r="J119" s="1112"/>
      <c r="K119" s="1112"/>
      <c r="L119" s="1112"/>
      <c r="M119" s="1112"/>
    </row>
    <row r="120" spans="1:13">
      <c r="A120" s="1112"/>
      <c r="B120" s="1112"/>
      <c r="C120" s="1112"/>
      <c r="D120" s="1112"/>
      <c r="E120" s="1112"/>
      <c r="F120" s="1112"/>
      <c r="G120" s="1112"/>
      <c r="H120" s="1112"/>
      <c r="I120" s="1112"/>
      <c r="J120" s="1112"/>
      <c r="K120" s="1112"/>
      <c r="L120" s="1112"/>
      <c r="M120" s="1112"/>
    </row>
    <row r="121" spans="1:13">
      <c r="A121" s="1112"/>
      <c r="B121" s="1112"/>
      <c r="C121" s="1112"/>
      <c r="D121" s="1112"/>
      <c r="E121" s="1112"/>
      <c r="F121" s="1112"/>
      <c r="G121" s="1112"/>
      <c r="H121" s="1112"/>
      <c r="I121" s="1112"/>
      <c r="J121" s="1112"/>
      <c r="K121" s="1112"/>
      <c r="L121" s="1112"/>
      <c r="M121" s="1112"/>
    </row>
    <row r="122" spans="1:13">
      <c r="A122" s="1112"/>
      <c r="B122" s="1112"/>
      <c r="C122" s="1112"/>
      <c r="D122" s="1112"/>
      <c r="E122" s="1112"/>
      <c r="F122" s="1112"/>
      <c r="G122" s="1112"/>
      <c r="H122" s="1112"/>
      <c r="I122" s="1112"/>
      <c r="J122" s="1112"/>
      <c r="K122" s="1112"/>
      <c r="L122" s="1112"/>
      <c r="M122" s="1112"/>
    </row>
    <row r="123" spans="1:13">
      <c r="A123" s="1112"/>
      <c r="B123" s="1112"/>
      <c r="C123" s="1112"/>
      <c r="D123" s="1112"/>
      <c r="E123" s="1112"/>
      <c r="F123" s="1112"/>
      <c r="G123" s="1112"/>
      <c r="H123" s="1112"/>
      <c r="I123" s="1112"/>
      <c r="J123" s="1112"/>
      <c r="K123" s="1112"/>
      <c r="L123" s="1112"/>
      <c r="M123" s="1112"/>
    </row>
    <row r="124" spans="1:13">
      <c r="A124" s="1112"/>
      <c r="B124" s="1112"/>
      <c r="C124" s="1112"/>
      <c r="D124" s="1112"/>
      <c r="E124" s="1112"/>
      <c r="F124" s="1112"/>
      <c r="G124" s="1112"/>
      <c r="H124" s="1112"/>
      <c r="I124" s="1112"/>
      <c r="J124" s="1112"/>
      <c r="K124" s="1112"/>
      <c r="L124" s="1112"/>
      <c r="M124" s="1112"/>
    </row>
    <row r="125" spans="1:13">
      <c r="A125" s="1112"/>
      <c r="B125" s="1112"/>
      <c r="C125" s="1112"/>
      <c r="D125" s="1112"/>
      <c r="E125" s="1112"/>
      <c r="F125" s="1112"/>
      <c r="G125" s="1112"/>
      <c r="H125" s="1112"/>
      <c r="I125" s="1112"/>
      <c r="J125" s="1112"/>
      <c r="K125" s="1112"/>
      <c r="L125" s="1112"/>
      <c r="M125" s="1112"/>
    </row>
    <row r="126" spans="1:13">
      <c r="A126" s="1112"/>
      <c r="B126" s="1112"/>
      <c r="C126" s="1112"/>
      <c r="D126" s="1112"/>
      <c r="E126" s="1112"/>
      <c r="F126" s="1112"/>
      <c r="G126" s="1112"/>
      <c r="H126" s="1112"/>
      <c r="I126" s="1112"/>
      <c r="J126" s="1112"/>
      <c r="K126" s="1112"/>
      <c r="L126" s="1112"/>
      <c r="M126" s="1112"/>
    </row>
    <row r="127" spans="1:13">
      <c r="A127" s="1112"/>
      <c r="B127" s="1112"/>
      <c r="C127" s="1112"/>
      <c r="D127" s="1112"/>
      <c r="E127" s="1112"/>
      <c r="F127" s="1112"/>
      <c r="G127" s="1112"/>
      <c r="H127" s="1112"/>
      <c r="I127" s="1112"/>
      <c r="J127" s="1112"/>
      <c r="K127" s="1112"/>
      <c r="L127" s="1112"/>
      <c r="M127" s="1112"/>
    </row>
    <row r="128" spans="1:13">
      <c r="A128" s="1112"/>
      <c r="B128" s="1112"/>
      <c r="C128" s="1112"/>
      <c r="D128" s="1112"/>
      <c r="E128" s="1112"/>
      <c r="F128" s="1112"/>
      <c r="G128" s="1112"/>
      <c r="H128" s="1112"/>
      <c r="I128" s="1112"/>
      <c r="J128" s="1112"/>
      <c r="K128" s="1112"/>
      <c r="L128" s="1112"/>
      <c r="M128" s="1112"/>
    </row>
    <row r="129" spans="1:13">
      <c r="A129" s="1112"/>
      <c r="B129" s="1112"/>
      <c r="C129" s="1112"/>
      <c r="D129" s="1112"/>
      <c r="E129" s="1112"/>
      <c r="F129" s="1112"/>
      <c r="G129" s="1112"/>
      <c r="H129" s="1112"/>
      <c r="I129" s="1112"/>
      <c r="J129" s="1112"/>
      <c r="K129" s="1112"/>
      <c r="L129" s="1112"/>
      <c r="M129" s="1112"/>
    </row>
    <row r="130" spans="1:13">
      <c r="A130" s="1112"/>
      <c r="B130" s="1112"/>
      <c r="C130" s="1112"/>
      <c r="D130" s="1112"/>
      <c r="E130" s="1112"/>
      <c r="F130" s="1112"/>
      <c r="G130" s="1112"/>
      <c r="H130" s="1112"/>
      <c r="I130" s="1112"/>
      <c r="J130" s="1112"/>
      <c r="K130" s="1112"/>
      <c r="L130" s="1112"/>
      <c r="M130" s="1112"/>
    </row>
    <row r="131" spans="1:13">
      <c r="A131" s="1112"/>
      <c r="B131" s="1112"/>
      <c r="C131" s="1112"/>
      <c r="D131" s="1112"/>
      <c r="E131" s="1112"/>
      <c r="F131" s="1112"/>
      <c r="G131" s="1112"/>
      <c r="H131" s="1112"/>
      <c r="I131" s="1112"/>
      <c r="J131" s="1112"/>
      <c r="K131" s="1112"/>
      <c r="L131" s="1112"/>
      <c r="M131" s="1112"/>
    </row>
    <row r="132" spans="1:13">
      <c r="A132" s="1112"/>
      <c r="B132" s="1112"/>
      <c r="C132" s="1112"/>
      <c r="D132" s="1112"/>
      <c r="E132" s="1112"/>
      <c r="F132" s="1112"/>
      <c r="G132" s="1112"/>
      <c r="H132" s="1112"/>
      <c r="I132" s="1112"/>
      <c r="J132" s="1112"/>
      <c r="K132" s="1112"/>
      <c r="L132" s="1112"/>
      <c r="M132" s="1112"/>
    </row>
    <row r="133" spans="1:13">
      <c r="A133" s="1112"/>
      <c r="B133" s="1112"/>
      <c r="C133" s="1112"/>
      <c r="D133" s="1112"/>
      <c r="E133" s="1112"/>
      <c r="F133" s="1112"/>
      <c r="G133" s="1112"/>
      <c r="H133" s="1112"/>
      <c r="I133" s="1112"/>
      <c r="J133" s="1112"/>
      <c r="K133" s="1112"/>
      <c r="L133" s="1112"/>
      <c r="M133" s="1112"/>
    </row>
    <row r="134" spans="1:13">
      <c r="A134" s="1112"/>
      <c r="B134" s="1112"/>
      <c r="C134" s="1112"/>
      <c r="D134" s="1112"/>
      <c r="E134" s="1112"/>
      <c r="F134" s="1112"/>
      <c r="G134" s="1112"/>
      <c r="H134" s="1112"/>
      <c r="I134" s="1112"/>
      <c r="J134" s="1112"/>
      <c r="K134" s="1112"/>
      <c r="L134" s="1112"/>
      <c r="M134" s="1112"/>
    </row>
    <row r="135" spans="1:13">
      <c r="A135" s="1112"/>
      <c r="B135" s="1112"/>
      <c r="C135" s="1112"/>
      <c r="D135" s="1112"/>
      <c r="E135" s="1112"/>
      <c r="F135" s="1112"/>
      <c r="G135" s="1112"/>
      <c r="H135" s="1112"/>
      <c r="I135" s="1112"/>
      <c r="J135" s="1112"/>
      <c r="K135" s="1112"/>
      <c r="L135" s="1112"/>
      <c r="M135" s="1112"/>
    </row>
    <row r="136" spans="1:13">
      <c r="A136" s="1112"/>
      <c r="B136" s="1112"/>
      <c r="C136" s="1112"/>
      <c r="D136" s="1112"/>
      <c r="E136" s="1112"/>
      <c r="F136" s="1112"/>
      <c r="G136" s="1112"/>
      <c r="H136" s="1112"/>
      <c r="I136" s="1112"/>
      <c r="J136" s="1112"/>
      <c r="K136" s="1112"/>
      <c r="L136" s="1112"/>
      <c r="M136" s="1112"/>
    </row>
    <row r="137" spans="1:13">
      <c r="A137" s="1112"/>
      <c r="B137" s="1112"/>
      <c r="C137" s="1112"/>
      <c r="D137" s="1112"/>
      <c r="E137" s="1112"/>
      <c r="F137" s="1112"/>
      <c r="G137" s="1112"/>
      <c r="H137" s="1112"/>
      <c r="I137" s="1112"/>
      <c r="J137" s="1112"/>
      <c r="K137" s="1112"/>
      <c r="L137" s="1112"/>
      <c r="M137" s="1112"/>
    </row>
    <row r="138" spans="1:13">
      <c r="A138" s="1112"/>
      <c r="B138" s="1112"/>
      <c r="C138" s="1112"/>
      <c r="D138" s="1112"/>
      <c r="E138" s="1112"/>
      <c r="F138" s="1112"/>
      <c r="G138" s="1112"/>
      <c r="H138" s="1112"/>
      <c r="I138" s="1112"/>
      <c r="J138" s="1112"/>
      <c r="K138" s="1112"/>
      <c r="L138" s="1112"/>
      <c r="M138" s="1112"/>
    </row>
    <row r="139" spans="1:13">
      <c r="A139" s="1112"/>
      <c r="B139" s="1112"/>
      <c r="C139" s="1112"/>
      <c r="D139" s="1112"/>
      <c r="E139" s="1112"/>
      <c r="F139" s="1112"/>
      <c r="G139" s="1112"/>
      <c r="H139" s="1112"/>
      <c r="I139" s="1112"/>
      <c r="J139" s="1112"/>
      <c r="K139" s="1112"/>
      <c r="L139" s="1112"/>
      <c r="M139" s="1112"/>
    </row>
    <row r="140" spans="1:13">
      <c r="A140" s="1112"/>
      <c r="B140" s="1112"/>
      <c r="C140" s="1112"/>
      <c r="D140" s="1112"/>
      <c r="E140" s="1112"/>
      <c r="F140" s="1112"/>
      <c r="G140" s="1112"/>
      <c r="H140" s="1112"/>
      <c r="I140" s="1112"/>
      <c r="J140" s="1112"/>
      <c r="K140" s="1112"/>
      <c r="L140" s="1112"/>
      <c r="M140" s="1112"/>
    </row>
    <row r="141" spans="1:13">
      <c r="A141" s="1112"/>
      <c r="B141" s="1112"/>
      <c r="C141" s="1112"/>
      <c r="D141" s="1112"/>
      <c r="E141" s="1112"/>
      <c r="F141" s="1112"/>
      <c r="G141" s="1112"/>
      <c r="H141" s="1112"/>
      <c r="I141" s="1112"/>
      <c r="J141" s="1112"/>
      <c r="K141" s="1112"/>
      <c r="L141" s="1112"/>
      <c r="M141" s="1112"/>
    </row>
    <row r="142" spans="1:13">
      <c r="A142" s="1112"/>
      <c r="B142" s="1112"/>
      <c r="C142" s="1112"/>
      <c r="D142" s="1112"/>
      <c r="E142" s="1112"/>
      <c r="F142" s="1112"/>
      <c r="G142" s="1112"/>
      <c r="H142" s="1112"/>
      <c r="I142" s="1112"/>
      <c r="J142" s="1112"/>
      <c r="K142" s="1112"/>
      <c r="L142" s="1112"/>
      <c r="M142" s="1112"/>
    </row>
    <row r="143" spans="1:13">
      <c r="A143" s="1112"/>
      <c r="B143" s="1112"/>
      <c r="C143" s="1112"/>
      <c r="D143" s="1112"/>
      <c r="E143" s="1112"/>
      <c r="F143" s="1112"/>
      <c r="G143" s="1112"/>
      <c r="H143" s="1112"/>
      <c r="I143" s="1112"/>
      <c r="J143" s="1112"/>
      <c r="K143" s="1112"/>
      <c r="L143" s="1112"/>
      <c r="M143" s="1112"/>
    </row>
    <row r="144" spans="1:13">
      <c r="A144" s="1112"/>
      <c r="B144" s="1112"/>
      <c r="C144" s="1112"/>
      <c r="D144" s="1112"/>
      <c r="E144" s="1112"/>
      <c r="F144" s="1112"/>
      <c r="G144" s="1112"/>
      <c r="H144" s="1112"/>
      <c r="I144" s="1112"/>
      <c r="J144" s="1112"/>
      <c r="K144" s="1112"/>
      <c r="L144" s="1112"/>
      <c r="M144" s="1112"/>
    </row>
    <row r="145" spans="1:13">
      <c r="A145" s="1112"/>
      <c r="B145" s="1112"/>
      <c r="C145" s="1112"/>
      <c r="D145" s="1112"/>
      <c r="E145" s="1112"/>
      <c r="F145" s="1112"/>
      <c r="G145" s="1112"/>
      <c r="H145" s="1112"/>
      <c r="I145" s="1112"/>
      <c r="J145" s="1112"/>
      <c r="K145" s="1112"/>
      <c r="L145" s="1112"/>
      <c r="M145" s="1112"/>
    </row>
    <row r="146" spans="1:13">
      <c r="A146" s="1112"/>
      <c r="B146" s="1112"/>
      <c r="C146" s="1112"/>
      <c r="D146" s="1112"/>
      <c r="E146" s="1112"/>
      <c r="F146" s="1112"/>
      <c r="G146" s="1112"/>
      <c r="H146" s="1112"/>
      <c r="I146" s="1112"/>
      <c r="J146" s="1112"/>
      <c r="K146" s="1112"/>
      <c r="L146" s="1112"/>
      <c r="M146" s="1112"/>
    </row>
    <row r="147" spans="1:13">
      <c r="A147" s="1112"/>
      <c r="B147" s="1112"/>
      <c r="C147" s="1112"/>
      <c r="D147" s="1112"/>
      <c r="E147" s="1112"/>
      <c r="F147" s="1112"/>
      <c r="G147" s="1112"/>
      <c r="H147" s="1112"/>
      <c r="I147" s="1112"/>
      <c r="J147" s="1112"/>
      <c r="K147" s="1112"/>
      <c r="L147" s="1112"/>
      <c r="M147" s="1112"/>
    </row>
    <row r="148" spans="1:13">
      <c r="A148" s="1112"/>
      <c r="B148" s="1112"/>
      <c r="C148" s="1112"/>
      <c r="D148" s="1112"/>
      <c r="E148" s="1112"/>
      <c r="F148" s="1112"/>
      <c r="G148" s="1112"/>
      <c r="H148" s="1112"/>
      <c r="I148" s="1112"/>
      <c r="J148" s="1112"/>
      <c r="K148" s="1112"/>
      <c r="L148" s="1112"/>
      <c r="M148" s="1112"/>
    </row>
    <row r="149" spans="1:13">
      <c r="A149" s="1112"/>
      <c r="B149" s="1112"/>
      <c r="C149" s="1112"/>
      <c r="D149" s="1112"/>
      <c r="E149" s="1112"/>
      <c r="F149" s="1112"/>
      <c r="G149" s="1112"/>
      <c r="H149" s="1112"/>
      <c r="I149" s="1112"/>
      <c r="J149" s="1112"/>
      <c r="K149" s="1112"/>
      <c r="L149" s="1112"/>
      <c r="M149" s="1112"/>
    </row>
    <row r="150" spans="1:13">
      <c r="A150" s="1112"/>
      <c r="B150" s="1112"/>
      <c r="C150" s="1112"/>
      <c r="D150" s="1112"/>
      <c r="E150" s="1112"/>
      <c r="F150" s="1112"/>
      <c r="G150" s="1112"/>
      <c r="H150" s="1112"/>
      <c r="I150" s="1112"/>
      <c r="J150" s="1112"/>
      <c r="K150" s="1112"/>
      <c r="L150" s="1112"/>
      <c r="M150" s="1112"/>
    </row>
    <row r="151" spans="1:13">
      <c r="A151" s="1112"/>
      <c r="B151" s="1112"/>
      <c r="C151" s="1112"/>
      <c r="D151" s="1112"/>
      <c r="E151" s="1112"/>
      <c r="F151" s="1112"/>
      <c r="G151" s="1112"/>
      <c r="H151" s="1112"/>
      <c r="I151" s="1112"/>
      <c r="J151" s="1112"/>
      <c r="K151" s="1112"/>
      <c r="L151" s="1112"/>
      <c r="M151" s="1112"/>
    </row>
    <row r="152" spans="1:13">
      <c r="A152" s="1112"/>
      <c r="B152" s="1112"/>
      <c r="C152" s="1112"/>
      <c r="D152" s="1112"/>
      <c r="E152" s="1112"/>
      <c r="F152" s="1112"/>
      <c r="G152" s="1112"/>
      <c r="H152" s="1112"/>
      <c r="I152" s="1112"/>
      <c r="J152" s="1112"/>
      <c r="K152" s="1112"/>
      <c r="L152" s="1112"/>
      <c r="M152" s="1112"/>
    </row>
    <row r="153" spans="1:13">
      <c r="A153" s="1112"/>
      <c r="B153" s="1112"/>
      <c r="C153" s="1112"/>
      <c r="D153" s="1112"/>
      <c r="E153" s="1112"/>
      <c r="F153" s="1112"/>
      <c r="G153" s="1112"/>
      <c r="H153" s="1112"/>
      <c r="I153" s="1112"/>
      <c r="J153" s="1112"/>
      <c r="K153" s="1112"/>
      <c r="L153" s="1112"/>
      <c r="M153" s="1112"/>
    </row>
    <row r="154" spans="1:13">
      <c r="A154" s="1112"/>
      <c r="B154" s="1112"/>
      <c r="C154" s="1112"/>
      <c r="D154" s="1112"/>
      <c r="E154" s="1112"/>
      <c r="F154" s="1112"/>
      <c r="G154" s="1112"/>
      <c r="H154" s="1112"/>
      <c r="I154" s="1112"/>
      <c r="J154" s="1112"/>
      <c r="K154" s="1112"/>
      <c r="L154" s="1112"/>
      <c r="M154" s="1112"/>
    </row>
    <row r="155" spans="1:13">
      <c r="A155" s="1112"/>
      <c r="B155" s="1112"/>
      <c r="C155" s="1112"/>
      <c r="D155" s="1112"/>
      <c r="E155" s="1112"/>
      <c r="F155" s="1112"/>
      <c r="G155" s="1112"/>
      <c r="H155" s="1112"/>
      <c r="I155" s="1112"/>
      <c r="J155" s="1112"/>
      <c r="K155" s="1112"/>
      <c r="L155" s="1112"/>
      <c r="M155" s="1112"/>
    </row>
    <row r="156" spans="1:13">
      <c r="A156" s="1112"/>
      <c r="B156" s="1112"/>
      <c r="C156" s="1112"/>
      <c r="D156" s="1112"/>
      <c r="E156" s="1112"/>
      <c r="F156" s="1112"/>
      <c r="G156" s="1112"/>
      <c r="H156" s="1112"/>
      <c r="I156" s="1112"/>
      <c r="J156" s="1112"/>
      <c r="K156" s="1112"/>
      <c r="L156" s="1112"/>
      <c r="M156" s="1112"/>
    </row>
    <row r="157" spans="1:13">
      <c r="A157" s="1112"/>
      <c r="B157" s="1112"/>
      <c r="C157" s="1112"/>
      <c r="D157" s="1112"/>
      <c r="E157" s="1112"/>
      <c r="F157" s="1112"/>
      <c r="G157" s="1112"/>
      <c r="H157" s="1112"/>
      <c r="I157" s="1112"/>
      <c r="J157" s="1112"/>
      <c r="K157" s="1112"/>
      <c r="L157" s="1112"/>
      <c r="M157" s="1112"/>
    </row>
    <row r="158" spans="1:13">
      <c r="A158" s="1112"/>
      <c r="B158" s="1112"/>
      <c r="C158" s="1112"/>
      <c r="D158" s="1112"/>
      <c r="E158" s="1112"/>
      <c r="F158" s="1112"/>
      <c r="G158" s="1112"/>
      <c r="H158" s="1112"/>
      <c r="I158" s="1112"/>
      <c r="J158" s="1112"/>
      <c r="K158" s="1112"/>
      <c r="L158" s="1112"/>
      <c r="M158" s="1112"/>
    </row>
    <row r="159" spans="1:13">
      <c r="A159" s="1112"/>
      <c r="B159" s="1112"/>
      <c r="C159" s="1112"/>
      <c r="D159" s="1112"/>
      <c r="E159" s="1112"/>
      <c r="F159" s="1112"/>
      <c r="G159" s="1112"/>
      <c r="H159" s="1112"/>
      <c r="I159" s="1112"/>
      <c r="J159" s="1112"/>
      <c r="K159" s="1112"/>
      <c r="L159" s="1112"/>
      <c r="M159" s="1112"/>
    </row>
    <row r="160" spans="1:13">
      <c r="A160" s="1112"/>
      <c r="B160" s="1112"/>
      <c r="C160" s="1112"/>
      <c r="D160" s="1112"/>
      <c r="E160" s="1112"/>
      <c r="F160" s="1112"/>
      <c r="G160" s="1112"/>
      <c r="H160" s="1112"/>
      <c r="I160" s="1112"/>
      <c r="J160" s="1112"/>
      <c r="K160" s="1112"/>
      <c r="L160" s="1112"/>
      <c r="M160" s="1112"/>
    </row>
    <row r="161" spans="1:13">
      <c r="A161" s="1112"/>
      <c r="B161" s="1112"/>
      <c r="C161" s="1112"/>
      <c r="D161" s="1112"/>
      <c r="E161" s="1112"/>
      <c r="F161" s="1112"/>
      <c r="G161" s="1112"/>
      <c r="H161" s="1112"/>
      <c r="I161" s="1112"/>
      <c r="J161" s="1112"/>
      <c r="K161" s="1112"/>
      <c r="L161" s="1112"/>
      <c r="M161" s="1112"/>
    </row>
    <row r="162" spans="1:13">
      <c r="A162" s="1112"/>
      <c r="B162" s="1112"/>
      <c r="C162" s="1112"/>
      <c r="D162" s="1112"/>
      <c r="E162" s="1112"/>
      <c r="F162" s="1112"/>
      <c r="G162" s="1112"/>
      <c r="H162" s="1112"/>
      <c r="I162" s="1112"/>
      <c r="J162" s="1112"/>
      <c r="K162" s="1112"/>
      <c r="L162" s="1112"/>
      <c r="M162" s="1112"/>
    </row>
    <row r="163" spans="1:13">
      <c r="A163" s="1112"/>
      <c r="B163" s="1112"/>
      <c r="C163" s="1112"/>
      <c r="D163" s="1112"/>
      <c r="E163" s="1112"/>
      <c r="F163" s="1112"/>
      <c r="G163" s="1112"/>
      <c r="H163" s="1112"/>
      <c r="I163" s="1112"/>
      <c r="J163" s="1112"/>
      <c r="K163" s="1112"/>
      <c r="L163" s="1112"/>
      <c r="M163" s="1112"/>
    </row>
    <row r="164" spans="1:13">
      <c r="A164" s="1112"/>
      <c r="B164" s="1112"/>
      <c r="C164" s="1112"/>
      <c r="D164" s="1112"/>
      <c r="E164" s="1112"/>
      <c r="F164" s="1112"/>
      <c r="G164" s="1112"/>
      <c r="H164" s="1112"/>
      <c r="I164" s="1112"/>
      <c r="J164" s="1112"/>
      <c r="K164" s="1112"/>
      <c r="L164" s="1112"/>
      <c r="M164" s="1112"/>
    </row>
    <row r="165" spans="1:13">
      <c r="A165" s="1112"/>
      <c r="B165" s="1112"/>
      <c r="C165" s="1112"/>
      <c r="D165" s="1112"/>
      <c r="E165" s="1112"/>
      <c r="F165" s="1112"/>
      <c r="G165" s="1112"/>
      <c r="H165" s="1112"/>
      <c r="I165" s="1112"/>
      <c r="J165" s="1112"/>
      <c r="K165" s="1112"/>
      <c r="L165" s="1112"/>
      <c r="M165" s="1112"/>
    </row>
    <row r="166" spans="1:13">
      <c r="A166" s="1112"/>
      <c r="B166" s="1112"/>
      <c r="C166" s="1112"/>
      <c r="D166" s="1112"/>
      <c r="E166" s="1112"/>
      <c r="F166" s="1112"/>
      <c r="G166" s="1112"/>
      <c r="H166" s="1112"/>
      <c r="I166" s="1112"/>
      <c r="J166" s="1112"/>
      <c r="K166" s="1112"/>
      <c r="L166" s="1112"/>
      <c r="M166" s="1112"/>
    </row>
    <row r="167" spans="1:13">
      <c r="A167" s="1112"/>
      <c r="B167" s="1112"/>
      <c r="C167" s="1112"/>
      <c r="D167" s="1112"/>
      <c r="E167" s="1112"/>
      <c r="F167" s="1112"/>
      <c r="G167" s="1112"/>
      <c r="H167" s="1112"/>
      <c r="I167" s="1112"/>
      <c r="J167" s="1112"/>
      <c r="K167" s="1112"/>
      <c r="L167" s="1112"/>
      <c r="M167" s="1112"/>
    </row>
    <row r="168" spans="1:13">
      <c r="A168" s="1112"/>
      <c r="B168" s="1112"/>
      <c r="C168" s="1112"/>
      <c r="D168" s="1112"/>
      <c r="E168" s="1112"/>
      <c r="F168" s="1112"/>
      <c r="G168" s="1112"/>
      <c r="H168" s="1112"/>
      <c r="I168" s="1112"/>
      <c r="J168" s="1112"/>
      <c r="K168" s="1112"/>
      <c r="L168" s="1112"/>
      <c r="M168" s="1112"/>
    </row>
    <row r="169" spans="1:13">
      <c r="A169" s="1112"/>
      <c r="B169" s="1112"/>
      <c r="C169" s="1112"/>
      <c r="D169" s="1112"/>
      <c r="E169" s="1112"/>
      <c r="F169" s="1112"/>
      <c r="G169" s="1112"/>
      <c r="H169" s="1112"/>
      <c r="I169" s="1112"/>
      <c r="J169" s="1112"/>
      <c r="K169" s="1112"/>
      <c r="L169" s="1112"/>
      <c r="M169" s="1112"/>
    </row>
    <row r="170" spans="1:13">
      <c r="A170" s="1112"/>
      <c r="B170" s="1112"/>
      <c r="C170" s="1112"/>
      <c r="D170" s="1112"/>
      <c r="E170" s="1112"/>
      <c r="F170" s="1112"/>
      <c r="G170" s="1112"/>
      <c r="H170" s="1112"/>
      <c r="I170" s="1112"/>
      <c r="J170" s="1112"/>
      <c r="K170" s="1112"/>
      <c r="L170" s="1112"/>
      <c r="M170" s="1112"/>
    </row>
    <row r="171" spans="1:13">
      <c r="A171" s="1112"/>
      <c r="B171" s="1112"/>
      <c r="C171" s="1112"/>
      <c r="D171" s="1112"/>
      <c r="E171" s="1112"/>
      <c r="F171" s="1112"/>
      <c r="G171" s="1112"/>
      <c r="H171" s="1112"/>
      <c r="I171" s="1112"/>
      <c r="J171" s="1112"/>
      <c r="K171" s="1112"/>
      <c r="L171" s="1112"/>
      <c r="M171" s="1112"/>
    </row>
    <row r="172" spans="1:13">
      <c r="A172" s="1112"/>
      <c r="B172" s="1112"/>
      <c r="C172" s="1112"/>
      <c r="D172" s="1112"/>
      <c r="E172" s="1112"/>
      <c r="F172" s="1112"/>
      <c r="G172" s="1112"/>
      <c r="H172" s="1112"/>
      <c r="I172" s="1112"/>
      <c r="J172" s="1112"/>
      <c r="K172" s="1112"/>
      <c r="L172" s="1112"/>
      <c r="M172" s="1112"/>
    </row>
    <row r="173" spans="1:13">
      <c r="A173" s="1112"/>
      <c r="B173" s="1112"/>
      <c r="C173" s="1112"/>
      <c r="D173" s="1112"/>
      <c r="E173" s="1112"/>
      <c r="F173" s="1112"/>
      <c r="G173" s="1112"/>
      <c r="H173" s="1112"/>
      <c r="I173" s="1112"/>
      <c r="J173" s="1112"/>
      <c r="K173" s="1112"/>
      <c r="L173" s="1112"/>
      <c r="M173" s="1112"/>
    </row>
    <row r="174" spans="1:13">
      <c r="A174" s="1112"/>
      <c r="B174" s="1112"/>
      <c r="C174" s="1112"/>
      <c r="D174" s="1112"/>
      <c r="E174" s="1112"/>
      <c r="F174" s="1112"/>
      <c r="G174" s="1112"/>
      <c r="H174" s="1112"/>
      <c r="I174" s="1112"/>
      <c r="J174" s="1112"/>
      <c r="K174" s="1112"/>
      <c r="L174" s="1112"/>
      <c r="M174" s="1112"/>
    </row>
    <row r="175" spans="1:13">
      <c r="A175" s="1112"/>
      <c r="B175" s="1112"/>
      <c r="C175" s="1112"/>
      <c r="D175" s="1112"/>
      <c r="E175" s="1112"/>
      <c r="F175" s="1112"/>
      <c r="G175" s="1112"/>
      <c r="H175" s="1112"/>
      <c r="I175" s="1112"/>
      <c r="J175" s="1112"/>
      <c r="K175" s="1112"/>
      <c r="L175" s="1112"/>
      <c r="M175" s="1112"/>
    </row>
    <row r="176" spans="1:13">
      <c r="A176" s="1112"/>
      <c r="B176" s="1112"/>
      <c r="C176" s="1112"/>
      <c r="D176" s="1112"/>
      <c r="E176" s="1112"/>
      <c r="F176" s="1112"/>
      <c r="G176" s="1112"/>
      <c r="H176" s="1112"/>
      <c r="I176" s="1112"/>
      <c r="J176" s="1112"/>
      <c r="K176" s="1112"/>
      <c r="L176" s="1112"/>
      <c r="M176" s="1112"/>
    </row>
    <row r="177" spans="1:13">
      <c r="A177" s="1112"/>
      <c r="B177" s="1112"/>
      <c r="C177" s="1112"/>
      <c r="D177" s="1112"/>
      <c r="E177" s="1112"/>
      <c r="F177" s="1112"/>
      <c r="G177" s="1112"/>
      <c r="H177" s="1112"/>
      <c r="I177" s="1112"/>
      <c r="J177" s="1112"/>
      <c r="K177" s="1112"/>
      <c r="L177" s="1112"/>
      <c r="M177" s="1112"/>
    </row>
    <row r="178" spans="1:13">
      <c r="A178" s="1112"/>
      <c r="B178" s="1112"/>
      <c r="C178" s="1112"/>
      <c r="D178" s="1112"/>
      <c r="E178" s="1112"/>
      <c r="F178" s="1112"/>
      <c r="G178" s="1112"/>
      <c r="H178" s="1112"/>
      <c r="I178" s="1112"/>
      <c r="J178" s="1112"/>
      <c r="K178" s="1112"/>
      <c r="L178" s="1112"/>
      <c r="M178" s="1112"/>
    </row>
    <row r="179" spans="1:13">
      <c r="A179" s="1112"/>
      <c r="B179" s="1112"/>
      <c r="C179" s="1112"/>
      <c r="D179" s="1112"/>
      <c r="E179" s="1112"/>
      <c r="F179" s="1112"/>
      <c r="G179" s="1112"/>
      <c r="H179" s="1112"/>
      <c r="I179" s="1112"/>
      <c r="J179" s="1112"/>
      <c r="K179" s="1112"/>
      <c r="L179" s="1112"/>
      <c r="M179" s="1112"/>
    </row>
    <row r="180" spans="1:13">
      <c r="A180" s="1112"/>
      <c r="B180" s="1112"/>
      <c r="C180" s="1112"/>
      <c r="D180" s="1112"/>
      <c r="E180" s="1112"/>
      <c r="F180" s="1112"/>
      <c r="G180" s="1112"/>
      <c r="H180" s="1112"/>
      <c r="I180" s="1112"/>
      <c r="J180" s="1112"/>
      <c r="K180" s="1112"/>
      <c r="L180" s="1112"/>
      <c r="M180" s="1112"/>
    </row>
    <row r="181" spans="1:13">
      <c r="A181" s="1112"/>
      <c r="B181" s="1112"/>
      <c r="C181" s="1112"/>
      <c r="D181" s="1112"/>
      <c r="E181" s="1112"/>
      <c r="F181" s="1112"/>
      <c r="G181" s="1112"/>
      <c r="H181" s="1112"/>
      <c r="I181" s="1112"/>
      <c r="J181" s="1112"/>
      <c r="K181" s="1112"/>
      <c r="L181" s="1112"/>
      <c r="M181" s="1112"/>
    </row>
    <row r="182" spans="1:13">
      <c r="A182" s="1112"/>
      <c r="B182" s="1112"/>
      <c r="C182" s="1112"/>
      <c r="D182" s="1112"/>
      <c r="E182" s="1112"/>
      <c r="F182" s="1112"/>
      <c r="G182" s="1112"/>
      <c r="H182" s="1112"/>
      <c r="I182" s="1112"/>
      <c r="J182" s="1112"/>
      <c r="K182" s="1112"/>
      <c r="L182" s="1112"/>
      <c r="M182" s="1112"/>
    </row>
    <row r="183" spans="1:13">
      <c r="A183" s="1112"/>
      <c r="B183" s="1112"/>
      <c r="C183" s="1112"/>
      <c r="D183" s="1112"/>
      <c r="E183" s="1112"/>
      <c r="F183" s="1112"/>
      <c r="G183" s="1112"/>
      <c r="H183" s="1112"/>
      <c r="I183" s="1112"/>
      <c r="J183" s="1112"/>
      <c r="K183" s="1112"/>
      <c r="L183" s="1112"/>
      <c r="M183" s="1112"/>
    </row>
    <row r="184" spans="1:13">
      <c r="A184" s="1112"/>
      <c r="B184" s="1112"/>
      <c r="C184" s="1112"/>
      <c r="D184" s="1112"/>
      <c r="E184" s="1112"/>
      <c r="F184" s="1112"/>
      <c r="G184" s="1112"/>
      <c r="H184" s="1112"/>
      <c r="I184" s="1112"/>
      <c r="J184" s="1112"/>
      <c r="K184" s="1112"/>
      <c r="L184" s="1112"/>
      <c r="M184" s="1112"/>
    </row>
    <row r="185" spans="1:13">
      <c r="A185" s="1112"/>
      <c r="B185" s="1112"/>
      <c r="C185" s="1112"/>
      <c r="D185" s="1112"/>
      <c r="E185" s="1112"/>
      <c r="F185" s="1112"/>
      <c r="G185" s="1112"/>
      <c r="H185" s="1112"/>
      <c r="I185" s="1112"/>
      <c r="J185" s="1112"/>
      <c r="K185" s="1112"/>
      <c r="L185" s="1112"/>
      <c r="M185" s="1112"/>
    </row>
    <row r="186" spans="1:13">
      <c r="A186" s="1112"/>
      <c r="B186" s="1112"/>
      <c r="C186" s="1112"/>
      <c r="D186" s="1112"/>
      <c r="E186" s="1112"/>
      <c r="F186" s="1112"/>
      <c r="G186" s="1112"/>
      <c r="H186" s="1112"/>
      <c r="I186" s="1112"/>
      <c r="J186" s="1112"/>
      <c r="K186" s="1112"/>
      <c r="L186" s="1112"/>
      <c r="M186" s="1112"/>
    </row>
    <row r="187" spans="1:13">
      <c r="A187" s="1112"/>
      <c r="B187" s="1112"/>
      <c r="C187" s="1112"/>
      <c r="D187" s="1112"/>
      <c r="E187" s="1112"/>
      <c r="F187" s="1112"/>
      <c r="G187" s="1112"/>
      <c r="H187" s="1112"/>
      <c r="I187" s="1112"/>
      <c r="J187" s="1112"/>
      <c r="K187" s="1112"/>
      <c r="L187" s="1112"/>
      <c r="M187" s="1112"/>
    </row>
    <row r="188" spans="1:13">
      <c r="A188" s="1112"/>
      <c r="B188" s="1112"/>
      <c r="C188" s="1112"/>
      <c r="D188" s="1112"/>
      <c r="E188" s="1112"/>
      <c r="F188" s="1112"/>
      <c r="G188" s="1112"/>
      <c r="H188" s="1112"/>
      <c r="I188" s="1112"/>
      <c r="J188" s="1112"/>
      <c r="K188" s="1112"/>
      <c r="L188" s="1112"/>
      <c r="M188" s="1112"/>
    </row>
    <row r="189" spans="1:13">
      <c r="A189" s="1112"/>
      <c r="B189" s="1112"/>
      <c r="C189" s="1112"/>
      <c r="D189" s="1112"/>
      <c r="E189" s="1112"/>
      <c r="F189" s="1112"/>
      <c r="G189" s="1112"/>
      <c r="H189" s="1112"/>
      <c r="I189" s="1112"/>
      <c r="J189" s="1112"/>
      <c r="K189" s="1112"/>
      <c r="L189" s="1112"/>
      <c r="M189" s="1112"/>
    </row>
    <row r="190" spans="1:13">
      <c r="A190" s="1112"/>
      <c r="B190" s="1112"/>
      <c r="C190" s="1112"/>
      <c r="D190" s="1112"/>
      <c r="E190" s="1112"/>
      <c r="F190" s="1112"/>
      <c r="G190" s="1112"/>
      <c r="H190" s="1112"/>
      <c r="I190" s="1112"/>
      <c r="J190" s="1112"/>
      <c r="K190" s="1112"/>
      <c r="L190" s="1112"/>
      <c r="M190" s="1112"/>
    </row>
    <row r="191" spans="1:13">
      <c r="A191" s="1112"/>
      <c r="B191" s="1112"/>
      <c r="C191" s="1112"/>
      <c r="D191" s="1112"/>
      <c r="E191" s="1112"/>
      <c r="F191" s="1112"/>
      <c r="G191" s="1112"/>
      <c r="H191" s="1112"/>
      <c r="I191" s="1112"/>
      <c r="J191" s="1112"/>
      <c r="K191" s="1112"/>
      <c r="L191" s="1112"/>
      <c r="M191" s="1112"/>
    </row>
    <row r="192" spans="1:13">
      <c r="A192" s="1112"/>
      <c r="B192" s="1112"/>
      <c r="C192" s="1112"/>
      <c r="D192" s="1112"/>
      <c r="E192" s="1112"/>
      <c r="F192" s="1112"/>
      <c r="G192" s="1112"/>
      <c r="H192" s="1112"/>
      <c r="I192" s="1112"/>
      <c r="J192" s="1112"/>
      <c r="K192" s="1112"/>
      <c r="L192" s="1112"/>
      <c r="M192" s="1112"/>
    </row>
    <row r="193" spans="1:13">
      <c r="A193" s="1112"/>
      <c r="B193" s="1112"/>
      <c r="C193" s="1112"/>
      <c r="D193" s="1112"/>
      <c r="E193" s="1112"/>
      <c r="F193" s="1112"/>
      <c r="G193" s="1112"/>
      <c r="H193" s="1112"/>
      <c r="I193" s="1112"/>
      <c r="J193" s="1112"/>
      <c r="K193" s="1112"/>
      <c r="L193" s="1112"/>
      <c r="M193" s="1112"/>
    </row>
    <row r="194" spans="1:13">
      <c r="A194" s="1112"/>
      <c r="B194" s="1112"/>
      <c r="C194" s="1112"/>
      <c r="D194" s="1112"/>
      <c r="E194" s="1112"/>
      <c r="F194" s="1112"/>
      <c r="G194" s="1112"/>
      <c r="H194" s="1112"/>
      <c r="I194" s="1112"/>
      <c r="J194" s="1112"/>
      <c r="K194" s="1112"/>
      <c r="L194" s="1112"/>
      <c r="M194" s="1112"/>
    </row>
    <row r="195" spans="1:13">
      <c r="A195" s="1112"/>
      <c r="B195" s="1112"/>
      <c r="C195" s="1112"/>
      <c r="D195" s="1112"/>
      <c r="E195" s="1112"/>
      <c r="F195" s="1112"/>
      <c r="G195" s="1112"/>
      <c r="H195" s="1112"/>
      <c r="I195" s="1112"/>
      <c r="J195" s="1112"/>
      <c r="K195" s="1112"/>
      <c r="L195" s="1112"/>
      <c r="M195" s="1112"/>
    </row>
    <row r="196" spans="1:13">
      <c r="A196" s="1112"/>
      <c r="B196" s="1112"/>
      <c r="C196" s="1112"/>
      <c r="D196" s="1112"/>
      <c r="E196" s="1112"/>
      <c r="F196" s="1112"/>
      <c r="G196" s="1112"/>
      <c r="H196" s="1112"/>
      <c r="I196" s="1112"/>
      <c r="J196" s="1112"/>
      <c r="K196" s="1112"/>
      <c r="L196" s="1112"/>
      <c r="M196" s="1112"/>
    </row>
    <row r="197" spans="1:13">
      <c r="A197" s="1112"/>
      <c r="B197" s="1112"/>
      <c r="C197" s="1112"/>
      <c r="D197" s="1112"/>
      <c r="E197" s="1112"/>
      <c r="F197" s="1112"/>
      <c r="G197" s="1112"/>
      <c r="H197" s="1112"/>
      <c r="I197" s="1112"/>
      <c r="J197" s="1112"/>
      <c r="K197" s="1112"/>
      <c r="L197" s="1112"/>
      <c r="M197" s="1112"/>
    </row>
    <row r="198" spans="1:13">
      <c r="A198" s="1112"/>
      <c r="B198" s="1112"/>
      <c r="C198" s="1112"/>
      <c r="D198" s="1112"/>
      <c r="E198" s="1112"/>
      <c r="F198" s="1112"/>
      <c r="G198" s="1112"/>
      <c r="H198" s="1112"/>
      <c r="I198" s="1112"/>
      <c r="J198" s="1112"/>
      <c r="K198" s="1112"/>
      <c r="L198" s="1112"/>
      <c r="M198" s="1112"/>
    </row>
    <row r="199" spans="1:13">
      <c r="A199" s="1112"/>
      <c r="B199" s="1112"/>
      <c r="C199" s="1112"/>
      <c r="D199" s="1112"/>
      <c r="E199" s="1112"/>
      <c r="F199" s="1112"/>
      <c r="G199" s="1112"/>
      <c r="H199" s="1112"/>
      <c r="I199" s="1112"/>
      <c r="J199" s="1112"/>
      <c r="K199" s="1112"/>
      <c r="L199" s="1112"/>
      <c r="M199" s="1112"/>
    </row>
    <row r="200" spans="1:13">
      <c r="A200" s="1112"/>
      <c r="B200" s="1112"/>
      <c r="C200" s="1112"/>
      <c r="D200" s="1112"/>
      <c r="E200" s="1112"/>
      <c r="F200" s="1112"/>
      <c r="G200" s="1112"/>
      <c r="H200" s="1112"/>
      <c r="I200" s="1112"/>
      <c r="J200" s="1112"/>
      <c r="K200" s="1112"/>
      <c r="L200" s="1112"/>
      <c r="M200" s="1112"/>
    </row>
    <row r="201" spans="1:13">
      <c r="A201" s="1112"/>
      <c r="B201" s="1112"/>
      <c r="C201" s="1112"/>
      <c r="D201" s="1112"/>
      <c r="E201" s="1112"/>
      <c r="F201" s="1112"/>
      <c r="G201" s="1112"/>
      <c r="H201" s="1112"/>
      <c r="I201" s="1112"/>
      <c r="J201" s="1112"/>
      <c r="K201" s="1112"/>
      <c r="L201" s="1112"/>
      <c r="M201" s="1112"/>
    </row>
    <row r="202" spans="1:13">
      <c r="A202" s="1112"/>
      <c r="B202" s="1112"/>
      <c r="C202" s="1112"/>
      <c r="D202" s="1112"/>
      <c r="E202" s="1112"/>
      <c r="F202" s="1112"/>
      <c r="G202" s="1112"/>
      <c r="H202" s="1112"/>
      <c r="I202" s="1112"/>
      <c r="J202" s="1112"/>
      <c r="K202" s="1112"/>
      <c r="L202" s="1112"/>
      <c r="M202" s="1112"/>
    </row>
    <row r="203" spans="1:13">
      <c r="A203" s="1112"/>
      <c r="B203" s="1112"/>
      <c r="C203" s="1112"/>
      <c r="D203" s="1112"/>
      <c r="E203" s="1112"/>
      <c r="F203" s="1112"/>
      <c r="G203" s="1112"/>
      <c r="H203" s="1112"/>
      <c r="I203" s="1112"/>
      <c r="J203" s="1112"/>
      <c r="K203" s="1112"/>
      <c r="L203" s="1112"/>
      <c r="M203" s="1112"/>
    </row>
    <row r="204" spans="1:13">
      <c r="A204" s="1112"/>
      <c r="B204" s="1112"/>
      <c r="C204" s="1112"/>
      <c r="D204" s="1112"/>
      <c r="E204" s="1112"/>
      <c r="F204" s="1112"/>
      <c r="G204" s="1112"/>
      <c r="H204" s="1112"/>
      <c r="I204" s="1112"/>
      <c r="J204" s="1112"/>
      <c r="K204" s="1112"/>
      <c r="L204" s="1112"/>
      <c r="M204" s="1112"/>
    </row>
    <row r="205" spans="1:13">
      <c r="A205" s="1112"/>
      <c r="B205" s="1112"/>
      <c r="C205" s="1112"/>
      <c r="D205" s="1112"/>
      <c r="E205" s="1112"/>
      <c r="F205" s="1112"/>
      <c r="G205" s="1112"/>
      <c r="H205" s="1112"/>
      <c r="I205" s="1112"/>
      <c r="J205" s="1112"/>
      <c r="K205" s="1112"/>
      <c r="L205" s="1112"/>
      <c r="M205" s="1112"/>
    </row>
    <row r="206" spans="1:13">
      <c r="A206" s="1112"/>
      <c r="B206" s="1112"/>
      <c r="C206" s="1112"/>
      <c r="D206" s="1112"/>
      <c r="E206" s="1112"/>
      <c r="F206" s="1112"/>
      <c r="G206" s="1112"/>
      <c r="H206" s="1112"/>
      <c r="I206" s="1112"/>
      <c r="J206" s="1112"/>
      <c r="K206" s="1112"/>
      <c r="L206" s="1112"/>
      <c r="M206" s="1112"/>
    </row>
    <row r="207" spans="1:13">
      <c r="A207" s="1112"/>
      <c r="B207" s="1112"/>
      <c r="C207" s="1112"/>
      <c r="D207" s="1112"/>
      <c r="E207" s="1112"/>
      <c r="F207" s="1112"/>
      <c r="G207" s="1112"/>
      <c r="H207" s="1112"/>
      <c r="I207" s="1112"/>
      <c r="J207" s="1112"/>
      <c r="K207" s="1112"/>
      <c r="L207" s="1112"/>
      <c r="M207" s="1112"/>
    </row>
    <row r="208" spans="1:13">
      <c r="A208" s="1112"/>
      <c r="B208" s="1112"/>
      <c r="C208" s="1112"/>
      <c r="D208" s="1112"/>
      <c r="E208" s="1112"/>
      <c r="F208" s="1112"/>
      <c r="G208" s="1112"/>
      <c r="H208" s="1112"/>
      <c r="I208" s="1112"/>
      <c r="J208" s="1112"/>
      <c r="K208" s="1112"/>
      <c r="L208" s="1112"/>
      <c r="M208" s="1112"/>
    </row>
    <row r="209" spans="1:13">
      <c r="A209" s="1112"/>
      <c r="B209" s="1112"/>
      <c r="C209" s="1112"/>
      <c r="D209" s="1112"/>
      <c r="E209" s="1112"/>
      <c r="F209" s="1112"/>
      <c r="G209" s="1112"/>
      <c r="H209" s="1112"/>
      <c r="I209" s="1112"/>
      <c r="J209" s="1112"/>
      <c r="K209" s="1112"/>
      <c r="L209" s="1112"/>
      <c r="M209" s="1112"/>
    </row>
    <row r="210" spans="1:13">
      <c r="A210" s="1112"/>
      <c r="B210" s="1112"/>
      <c r="C210" s="1112"/>
      <c r="D210" s="1112"/>
      <c r="E210" s="1112"/>
      <c r="F210" s="1112"/>
      <c r="G210" s="1112"/>
      <c r="H210" s="1112"/>
      <c r="I210" s="1112"/>
      <c r="J210" s="1112"/>
      <c r="K210" s="1112"/>
      <c r="L210" s="1112"/>
      <c r="M210" s="1112"/>
    </row>
    <row r="211" spans="1:13">
      <c r="A211" s="1112"/>
      <c r="B211" s="1112"/>
      <c r="C211" s="1112"/>
      <c r="D211" s="1112"/>
      <c r="E211" s="1112"/>
      <c r="F211" s="1112"/>
      <c r="G211" s="1112"/>
      <c r="H211" s="1112"/>
      <c r="I211" s="1112"/>
      <c r="J211" s="1112"/>
      <c r="K211" s="1112"/>
      <c r="L211" s="1112"/>
      <c r="M211" s="1112"/>
    </row>
    <row r="212" spans="1:13">
      <c r="A212" s="1112"/>
      <c r="B212" s="1112"/>
      <c r="C212" s="1112"/>
      <c r="D212" s="1112"/>
      <c r="E212" s="1112"/>
      <c r="F212" s="1112"/>
      <c r="G212" s="1112"/>
      <c r="H212" s="1112"/>
      <c r="I212" s="1112"/>
      <c r="J212" s="1112"/>
      <c r="K212" s="1112"/>
      <c r="L212" s="1112"/>
      <c r="M212" s="1112"/>
    </row>
    <row r="213" spans="1:13">
      <c r="A213" s="1112"/>
      <c r="B213" s="1112"/>
      <c r="C213" s="1112"/>
      <c r="D213" s="1112"/>
      <c r="E213" s="1112"/>
      <c r="F213" s="1112"/>
      <c r="G213" s="1112"/>
      <c r="H213" s="1112"/>
      <c r="I213" s="1112"/>
      <c r="J213" s="1112"/>
      <c r="K213" s="1112"/>
      <c r="L213" s="1112"/>
      <c r="M213" s="1112"/>
    </row>
    <row r="214" spans="1:13">
      <c r="A214" s="1112"/>
      <c r="B214" s="1112"/>
      <c r="C214" s="1112"/>
      <c r="D214" s="1112"/>
      <c r="E214" s="1112"/>
      <c r="F214" s="1112"/>
      <c r="G214" s="1112"/>
      <c r="H214" s="1112"/>
      <c r="I214" s="1112"/>
      <c r="J214" s="1112"/>
      <c r="K214" s="1112"/>
      <c r="L214" s="1112"/>
      <c r="M214" s="1112"/>
    </row>
    <row r="215" spans="1:13">
      <c r="A215" s="1112"/>
      <c r="B215" s="1112"/>
      <c r="C215" s="1112"/>
      <c r="D215" s="1112"/>
      <c r="E215" s="1112"/>
      <c r="F215" s="1112"/>
      <c r="G215" s="1112"/>
      <c r="H215" s="1112"/>
      <c r="I215" s="1112"/>
      <c r="J215" s="1112"/>
      <c r="K215" s="1112"/>
      <c r="L215" s="1112"/>
      <c r="M215" s="1112"/>
    </row>
    <row r="216" spans="1:13">
      <c r="A216" s="1112"/>
      <c r="B216" s="1112"/>
      <c r="C216" s="1112"/>
      <c r="D216" s="1112"/>
      <c r="E216" s="1112"/>
      <c r="F216" s="1112"/>
      <c r="G216" s="1112"/>
      <c r="H216" s="1112"/>
      <c r="I216" s="1112"/>
      <c r="J216" s="1112"/>
      <c r="K216" s="1112"/>
      <c r="L216" s="1112"/>
      <c r="M216" s="1112"/>
    </row>
    <row r="217" spans="1:13">
      <c r="A217" s="1112"/>
      <c r="B217" s="1112"/>
      <c r="C217" s="1112"/>
      <c r="D217" s="1112"/>
      <c r="E217" s="1112"/>
      <c r="F217" s="1112"/>
      <c r="G217" s="1112"/>
      <c r="H217" s="1112"/>
      <c r="I217" s="1112"/>
      <c r="J217" s="1112"/>
      <c r="K217" s="1112"/>
      <c r="L217" s="1112"/>
      <c r="M217" s="1112"/>
    </row>
    <row r="218" spans="1:13">
      <c r="A218" s="1112"/>
      <c r="B218" s="1112"/>
      <c r="C218" s="1112"/>
      <c r="D218" s="1112"/>
      <c r="E218" s="1112"/>
      <c r="F218" s="1112"/>
      <c r="G218" s="1112"/>
      <c r="H218" s="1112"/>
      <c r="I218" s="1112"/>
      <c r="J218" s="1112"/>
      <c r="K218" s="1112"/>
      <c r="L218" s="1112"/>
      <c r="M218" s="1112"/>
    </row>
    <row r="219" spans="1:13">
      <c r="A219" s="1112"/>
      <c r="B219" s="1112"/>
      <c r="C219" s="1112"/>
      <c r="D219" s="1112"/>
      <c r="E219" s="1112"/>
      <c r="F219" s="1112"/>
      <c r="G219" s="1112"/>
      <c r="H219" s="1112"/>
      <c r="I219" s="1112"/>
      <c r="J219" s="1112"/>
      <c r="K219" s="1112"/>
      <c r="L219" s="1112"/>
      <c r="M219" s="1112"/>
    </row>
    <row r="220" spans="1:13">
      <c r="A220" s="1112"/>
      <c r="B220" s="1112"/>
      <c r="C220" s="1112"/>
      <c r="D220" s="1112"/>
      <c r="E220" s="1112"/>
      <c r="F220" s="1112"/>
      <c r="G220" s="1112"/>
      <c r="H220" s="1112"/>
      <c r="I220" s="1112"/>
      <c r="J220" s="1112"/>
      <c r="K220" s="1112"/>
      <c r="L220" s="1112"/>
      <c r="M220" s="1112"/>
    </row>
    <row r="221" spans="1:13">
      <c r="A221" s="1112"/>
      <c r="B221" s="1112"/>
      <c r="C221" s="1112"/>
      <c r="D221" s="1112"/>
      <c r="E221" s="1112"/>
      <c r="F221" s="1112"/>
      <c r="G221" s="1112"/>
      <c r="H221" s="1112"/>
      <c r="I221" s="1112"/>
      <c r="J221" s="1112"/>
      <c r="K221" s="1112"/>
      <c r="L221" s="1112"/>
      <c r="M221" s="1112"/>
    </row>
    <row r="222" spans="1:13">
      <c r="A222" s="1112"/>
      <c r="B222" s="1112"/>
      <c r="C222" s="1112"/>
      <c r="D222" s="1112"/>
      <c r="E222" s="1112"/>
      <c r="F222" s="1112"/>
      <c r="G222" s="1112"/>
      <c r="H222" s="1112"/>
      <c r="I222" s="1112"/>
      <c r="J222" s="1112"/>
      <c r="K222" s="1112"/>
      <c r="L222" s="1112"/>
      <c r="M222" s="1112"/>
    </row>
    <row r="223" spans="1:13">
      <c r="A223" s="1112"/>
      <c r="B223" s="1112"/>
      <c r="C223" s="1112"/>
      <c r="D223" s="1112"/>
      <c r="E223" s="1112"/>
      <c r="F223" s="1112"/>
      <c r="G223" s="1112"/>
      <c r="H223" s="1112"/>
      <c r="I223" s="1112"/>
      <c r="J223" s="1112"/>
      <c r="K223" s="1112"/>
      <c r="L223" s="1112"/>
      <c r="M223" s="1112"/>
    </row>
    <row r="224" spans="1:13">
      <c r="A224" s="1112"/>
      <c r="B224" s="1112"/>
      <c r="C224" s="1112"/>
      <c r="D224" s="1112"/>
      <c r="E224" s="1112"/>
      <c r="F224" s="1112"/>
      <c r="G224" s="1112"/>
      <c r="H224" s="1112"/>
      <c r="I224" s="1112"/>
      <c r="J224" s="1112"/>
      <c r="K224" s="1112"/>
      <c r="L224" s="1112"/>
      <c r="M224" s="1112"/>
    </row>
    <row r="225" spans="1:13">
      <c r="A225" s="1112"/>
      <c r="B225" s="1112"/>
      <c r="C225" s="1112"/>
      <c r="D225" s="1112"/>
      <c r="E225" s="1112"/>
      <c r="F225" s="1112"/>
      <c r="G225" s="1112"/>
      <c r="H225" s="1112"/>
      <c r="I225" s="1112"/>
      <c r="J225" s="1112"/>
      <c r="K225" s="1112"/>
      <c r="L225" s="1112"/>
      <c r="M225" s="1112"/>
    </row>
    <row r="226" spans="1:13">
      <c r="A226" s="1112"/>
      <c r="B226" s="1112"/>
      <c r="C226" s="1112"/>
      <c r="D226" s="1112"/>
      <c r="E226" s="1112"/>
      <c r="F226" s="1112"/>
      <c r="G226" s="1112"/>
      <c r="H226" s="1112"/>
      <c r="I226" s="1112"/>
      <c r="J226" s="1112"/>
      <c r="K226" s="1112"/>
      <c r="L226" s="1112"/>
      <c r="M226" s="1112"/>
    </row>
    <row r="227" spans="1:13">
      <c r="A227" s="1112"/>
      <c r="B227" s="1112"/>
      <c r="C227" s="1112"/>
      <c r="D227" s="1112"/>
      <c r="E227" s="1112"/>
      <c r="F227" s="1112"/>
      <c r="G227" s="1112"/>
      <c r="H227" s="1112"/>
      <c r="I227" s="1112"/>
      <c r="J227" s="1112"/>
      <c r="K227" s="1112"/>
      <c r="L227" s="1112"/>
      <c r="M227" s="1112"/>
    </row>
    <row r="228" spans="1:13">
      <c r="A228" s="1112"/>
      <c r="B228" s="1112"/>
      <c r="C228" s="1112"/>
      <c r="D228" s="1112"/>
      <c r="E228" s="1112"/>
      <c r="F228" s="1112"/>
      <c r="G228" s="1112"/>
      <c r="H228" s="1112"/>
      <c r="I228" s="1112"/>
      <c r="J228" s="1112"/>
      <c r="K228" s="1112"/>
      <c r="L228" s="1112"/>
      <c r="M228" s="1112"/>
    </row>
    <row r="229" spans="1:13">
      <c r="A229" s="1112"/>
      <c r="B229" s="1112"/>
      <c r="C229" s="1112"/>
      <c r="D229" s="1112"/>
      <c r="E229" s="1112"/>
      <c r="F229" s="1112"/>
      <c r="G229" s="1112"/>
      <c r="H229" s="1112"/>
      <c r="I229" s="1112"/>
      <c r="J229" s="1112"/>
      <c r="K229" s="1112"/>
      <c r="L229" s="1112"/>
      <c r="M229" s="1112"/>
    </row>
    <row r="230" spans="1:13">
      <c r="A230" s="1112"/>
      <c r="B230" s="1112"/>
      <c r="C230" s="1112"/>
      <c r="D230" s="1112"/>
      <c r="E230" s="1112"/>
      <c r="F230" s="1112"/>
      <c r="G230" s="1112"/>
      <c r="H230" s="1112"/>
      <c r="I230" s="1112"/>
      <c r="J230" s="1112"/>
      <c r="K230" s="1112"/>
      <c r="L230" s="1112"/>
      <c r="M230" s="1112"/>
    </row>
    <row r="231" spans="1:13">
      <c r="A231" s="1112"/>
      <c r="B231" s="1112"/>
      <c r="C231" s="1112"/>
      <c r="D231" s="1112"/>
      <c r="E231" s="1112"/>
      <c r="F231" s="1112"/>
      <c r="G231" s="1112"/>
      <c r="H231" s="1112"/>
      <c r="I231" s="1112"/>
      <c r="J231" s="1112"/>
      <c r="K231" s="1112"/>
      <c r="L231" s="1112"/>
      <c r="M231" s="1112"/>
    </row>
    <row r="232" spans="1:13">
      <c r="A232" s="1112"/>
      <c r="B232" s="1112"/>
      <c r="C232" s="1112"/>
      <c r="D232" s="1112"/>
      <c r="E232" s="1112"/>
      <c r="F232" s="1112"/>
      <c r="G232" s="1112"/>
      <c r="H232" s="1112"/>
      <c r="I232" s="1112"/>
      <c r="J232" s="1112"/>
      <c r="K232" s="1112"/>
      <c r="L232" s="1112"/>
      <c r="M232" s="1112"/>
    </row>
    <row r="233" spans="1:13">
      <c r="A233" s="1112"/>
      <c r="B233" s="1112"/>
      <c r="C233" s="1112"/>
      <c r="D233" s="1112"/>
      <c r="E233" s="1112"/>
      <c r="F233" s="1112"/>
      <c r="G233" s="1112"/>
      <c r="H233" s="1112"/>
      <c r="I233" s="1112"/>
      <c r="J233" s="1112"/>
      <c r="K233" s="1112"/>
      <c r="L233" s="1112"/>
      <c r="M233" s="1112"/>
    </row>
    <row r="234" spans="1:13">
      <c r="A234" s="1112"/>
      <c r="B234" s="1112"/>
      <c r="C234" s="1112"/>
      <c r="D234" s="1112"/>
      <c r="E234" s="1112"/>
      <c r="F234" s="1112"/>
      <c r="G234" s="1112"/>
      <c r="H234" s="1112"/>
      <c r="I234" s="1112"/>
      <c r="J234" s="1112"/>
      <c r="K234" s="1112"/>
      <c r="L234" s="1112"/>
      <c r="M234" s="1112"/>
    </row>
    <row r="235" spans="1:13">
      <c r="A235" s="1112"/>
      <c r="B235" s="1112"/>
      <c r="C235" s="1112"/>
      <c r="D235" s="1112"/>
      <c r="E235" s="1112"/>
      <c r="F235" s="1112"/>
      <c r="G235" s="1112"/>
      <c r="H235" s="1112"/>
      <c r="I235" s="1112"/>
      <c r="J235" s="1112"/>
      <c r="K235" s="1112"/>
      <c r="L235" s="1112"/>
      <c r="M235" s="1112"/>
    </row>
    <row r="236" spans="1:13">
      <c r="A236" s="1112"/>
      <c r="B236" s="1112"/>
      <c r="C236" s="1112"/>
      <c r="D236" s="1112"/>
      <c r="E236" s="1112"/>
      <c r="F236" s="1112"/>
      <c r="G236" s="1112"/>
      <c r="H236" s="1112"/>
      <c r="I236" s="1112"/>
      <c r="J236" s="1112"/>
      <c r="K236" s="1112"/>
      <c r="L236" s="1112"/>
      <c r="M236" s="1112"/>
    </row>
    <row r="237" spans="1:13">
      <c r="A237" s="1112"/>
      <c r="B237" s="1112"/>
      <c r="C237" s="1112"/>
      <c r="D237" s="1112"/>
      <c r="E237" s="1112"/>
      <c r="F237" s="1112"/>
      <c r="G237" s="1112"/>
      <c r="H237" s="1112"/>
      <c r="I237" s="1112"/>
      <c r="J237" s="1112"/>
      <c r="K237" s="1112"/>
      <c r="L237" s="1112"/>
      <c r="M237" s="1112"/>
    </row>
    <row r="238" spans="1:13">
      <c r="A238" s="1112"/>
      <c r="B238" s="1112"/>
      <c r="C238" s="1112"/>
      <c r="D238" s="1112"/>
      <c r="E238" s="1112"/>
      <c r="F238" s="1112"/>
      <c r="G238" s="1112"/>
      <c r="H238" s="1112"/>
      <c r="I238" s="1112"/>
      <c r="J238" s="1112"/>
      <c r="K238" s="1112"/>
      <c r="L238" s="1112"/>
      <c r="M238" s="1112"/>
    </row>
    <row r="239" spans="1:13">
      <c r="A239" s="1112"/>
      <c r="B239" s="1112"/>
      <c r="C239" s="1112"/>
      <c r="D239" s="1112"/>
      <c r="E239" s="1112"/>
      <c r="F239" s="1112"/>
      <c r="G239" s="1112"/>
      <c r="H239" s="1112"/>
      <c r="I239" s="1112"/>
      <c r="J239" s="1112"/>
      <c r="K239" s="1112"/>
      <c r="L239" s="1112"/>
      <c r="M239" s="1112"/>
    </row>
    <row r="240" spans="1:13">
      <c r="A240" s="1112"/>
      <c r="B240" s="1112"/>
      <c r="C240" s="1112"/>
      <c r="D240" s="1112"/>
      <c r="E240" s="1112"/>
      <c r="F240" s="1112"/>
      <c r="G240" s="1112"/>
      <c r="H240" s="1112"/>
      <c r="I240" s="1112"/>
      <c r="J240" s="1112"/>
      <c r="K240" s="1112"/>
      <c r="L240" s="1112"/>
      <c r="M240" s="1112"/>
    </row>
    <row r="241" spans="1:13">
      <c r="A241" s="1112"/>
      <c r="B241" s="1112"/>
      <c r="C241" s="1112"/>
      <c r="D241" s="1112"/>
      <c r="E241" s="1112"/>
      <c r="F241" s="1112"/>
      <c r="G241" s="1112"/>
      <c r="H241" s="1112"/>
      <c r="I241" s="1112"/>
      <c r="J241" s="1112"/>
      <c r="K241" s="1112"/>
      <c r="L241" s="1112"/>
      <c r="M241" s="1112"/>
    </row>
    <row r="242" spans="1:13">
      <c r="A242" s="1112"/>
      <c r="B242" s="1112"/>
      <c r="C242" s="1112"/>
      <c r="D242" s="1112"/>
      <c r="E242" s="1112"/>
      <c r="F242" s="1112"/>
      <c r="G242" s="1112"/>
      <c r="H242" s="1112"/>
      <c r="I242" s="1112"/>
      <c r="J242" s="1112"/>
      <c r="K242" s="1112"/>
      <c r="L242" s="1112"/>
      <c r="M242" s="1112"/>
    </row>
    <row r="243" spans="1:13">
      <c r="A243" s="1112"/>
      <c r="B243" s="1112"/>
      <c r="C243" s="1112"/>
      <c r="D243" s="1112"/>
      <c r="E243" s="1112"/>
      <c r="F243" s="1112"/>
      <c r="G243" s="1112"/>
      <c r="H243" s="1112"/>
      <c r="I243" s="1112"/>
      <c r="J243" s="1112"/>
      <c r="K243" s="1112"/>
      <c r="L243" s="1112"/>
      <c r="M243" s="1112"/>
    </row>
    <row r="244" spans="1:13">
      <c r="A244" s="1112"/>
      <c r="B244" s="1112"/>
      <c r="C244" s="1112"/>
      <c r="D244" s="1112"/>
      <c r="E244" s="1112"/>
      <c r="F244" s="1112"/>
      <c r="G244" s="1112"/>
      <c r="H244" s="1112"/>
      <c r="I244" s="1112"/>
      <c r="J244" s="1112"/>
      <c r="K244" s="1112"/>
      <c r="L244" s="1112"/>
      <c r="M244" s="1112"/>
    </row>
    <row r="245" spans="1:13">
      <c r="A245" s="1112"/>
      <c r="B245" s="1112"/>
      <c r="C245" s="1112"/>
      <c r="D245" s="1112"/>
      <c r="E245" s="1112"/>
      <c r="F245" s="1112"/>
      <c r="G245" s="1112"/>
      <c r="H245" s="1112"/>
      <c r="I245" s="1112"/>
      <c r="J245" s="1112"/>
      <c r="K245" s="1112"/>
      <c r="L245" s="1112"/>
      <c r="M245" s="1112"/>
    </row>
    <row r="246" spans="1:13">
      <c r="A246" s="1112"/>
      <c r="B246" s="1112"/>
      <c r="C246" s="1112"/>
      <c r="D246" s="1112"/>
      <c r="E246" s="1112"/>
      <c r="F246" s="1112"/>
      <c r="G246" s="1112"/>
      <c r="H246" s="1112"/>
      <c r="I246" s="1112"/>
      <c r="J246" s="1112"/>
      <c r="K246" s="1112"/>
      <c r="L246" s="1112"/>
      <c r="M246" s="1112"/>
    </row>
    <row r="247" spans="1:13">
      <c r="A247" s="1112"/>
      <c r="B247" s="1112"/>
      <c r="C247" s="1112"/>
      <c r="D247" s="1112"/>
      <c r="E247" s="1112"/>
      <c r="F247" s="1112"/>
      <c r="G247" s="1112"/>
      <c r="H247" s="1112"/>
      <c r="I247" s="1112"/>
      <c r="J247" s="1112"/>
      <c r="K247" s="1112"/>
      <c r="L247" s="1112"/>
      <c r="M247" s="1112"/>
    </row>
    <row r="248" spans="1:13">
      <c r="A248" s="1112"/>
      <c r="B248" s="1112"/>
      <c r="C248" s="1112"/>
      <c r="D248" s="1112"/>
      <c r="E248" s="1112"/>
      <c r="F248" s="1112"/>
      <c r="G248" s="1112"/>
      <c r="H248" s="1112"/>
      <c r="I248" s="1112"/>
      <c r="J248" s="1112"/>
      <c r="K248" s="1112"/>
      <c r="L248" s="1112"/>
      <c r="M248" s="1112"/>
    </row>
    <row r="249" spans="1:13">
      <c r="A249" s="1112"/>
      <c r="B249" s="1112"/>
      <c r="C249" s="1112"/>
      <c r="D249" s="1112"/>
      <c r="E249" s="1112"/>
      <c r="F249" s="1112"/>
      <c r="G249" s="1112"/>
      <c r="H249" s="1112"/>
      <c r="I249" s="1112"/>
      <c r="J249" s="1112"/>
      <c r="K249" s="1112"/>
      <c r="L249" s="1112"/>
      <c r="M249" s="1112"/>
    </row>
    <row r="250" spans="1:13">
      <c r="A250" s="1112"/>
      <c r="B250" s="1112"/>
      <c r="C250" s="1112"/>
      <c r="D250" s="1112"/>
      <c r="E250" s="1112"/>
      <c r="F250" s="1112"/>
      <c r="G250" s="1112"/>
      <c r="H250" s="1112"/>
      <c r="I250" s="1112"/>
      <c r="J250" s="1112"/>
      <c r="K250" s="1112"/>
      <c r="L250" s="1112"/>
      <c r="M250" s="1112"/>
    </row>
    <row r="251" spans="1:13">
      <c r="A251" s="1112"/>
      <c r="B251" s="1112"/>
      <c r="C251" s="1112"/>
      <c r="D251" s="1112"/>
      <c r="E251" s="1112"/>
      <c r="F251" s="1112"/>
      <c r="G251" s="1112"/>
      <c r="H251" s="1112"/>
      <c r="I251" s="1112"/>
      <c r="J251" s="1112"/>
      <c r="K251" s="1112"/>
      <c r="L251" s="1112"/>
      <c r="M251" s="1112"/>
    </row>
    <row r="252" spans="1:13">
      <c r="A252" s="1112"/>
      <c r="B252" s="1112"/>
      <c r="C252" s="1112"/>
      <c r="D252" s="1112"/>
      <c r="E252" s="1112"/>
      <c r="F252" s="1112"/>
      <c r="G252" s="1112"/>
      <c r="H252" s="1112"/>
      <c r="I252" s="1112"/>
      <c r="J252" s="1112"/>
      <c r="K252" s="1112"/>
      <c r="L252" s="1112"/>
      <c r="M252" s="1112"/>
    </row>
    <row r="253" spans="1:13">
      <c r="A253" s="1112"/>
      <c r="B253" s="1112"/>
      <c r="C253" s="1112"/>
      <c r="D253" s="1112"/>
      <c r="E253" s="1112"/>
      <c r="F253" s="1112"/>
      <c r="G253" s="1112"/>
      <c r="H253" s="1112"/>
      <c r="I253" s="1112"/>
      <c r="J253" s="1112"/>
      <c r="K253" s="1112"/>
      <c r="L253" s="1112"/>
      <c r="M253" s="1112"/>
    </row>
    <row r="254" spans="1:13">
      <c r="A254" s="1112"/>
      <c r="B254" s="1112"/>
      <c r="C254" s="1112"/>
      <c r="D254" s="1112"/>
      <c r="E254" s="1112"/>
      <c r="F254" s="1112"/>
      <c r="G254" s="1112"/>
      <c r="H254" s="1112"/>
      <c r="I254" s="1112"/>
      <c r="J254" s="1112"/>
      <c r="K254" s="1112"/>
      <c r="L254" s="1112"/>
      <c r="M254" s="1112"/>
    </row>
    <row r="255" spans="1:13">
      <c r="A255" s="1112"/>
      <c r="B255" s="1112"/>
      <c r="C255" s="1112"/>
      <c r="D255" s="1112"/>
      <c r="E255" s="1112"/>
      <c r="F255" s="1112"/>
      <c r="G255" s="1112"/>
      <c r="H255" s="1112"/>
      <c r="I255" s="1112"/>
      <c r="J255" s="1112"/>
      <c r="K255" s="1112"/>
      <c r="L255" s="1112"/>
      <c r="M255" s="1112"/>
    </row>
    <row r="256" spans="1:13">
      <c r="A256" s="1112"/>
      <c r="B256" s="1112"/>
      <c r="C256" s="1112"/>
      <c r="D256" s="1112"/>
      <c r="E256" s="1112"/>
      <c r="F256" s="1112"/>
      <c r="G256" s="1112"/>
      <c r="H256" s="1112"/>
      <c r="I256" s="1112"/>
      <c r="J256" s="1112"/>
      <c r="K256" s="1112"/>
      <c r="L256" s="1112"/>
      <c r="M256" s="1112"/>
    </row>
    <row r="257" spans="1:13">
      <c r="A257" s="1112"/>
      <c r="B257" s="1112"/>
      <c r="C257" s="1112"/>
      <c r="D257" s="1112"/>
      <c r="E257" s="1112"/>
      <c r="F257" s="1112"/>
      <c r="G257" s="1112"/>
      <c r="H257" s="1112"/>
      <c r="I257" s="1112"/>
      <c r="J257" s="1112"/>
      <c r="K257" s="1112"/>
      <c r="L257" s="1112"/>
      <c r="M257" s="1112"/>
    </row>
    <row r="258" spans="1:13">
      <c r="A258" s="1112"/>
      <c r="B258" s="1112"/>
      <c r="C258" s="1112"/>
      <c r="D258" s="1112"/>
      <c r="E258" s="1112"/>
      <c r="F258" s="1112"/>
      <c r="G258" s="1112"/>
      <c r="H258" s="1112"/>
      <c r="I258" s="1112"/>
      <c r="J258" s="1112"/>
      <c r="K258" s="1112"/>
      <c r="L258" s="1112"/>
      <c r="M258" s="1112"/>
    </row>
    <row r="259" spans="1:13">
      <c r="A259" s="1112"/>
      <c r="B259" s="1112"/>
      <c r="C259" s="1112"/>
      <c r="D259" s="1112"/>
      <c r="E259" s="1112"/>
      <c r="F259" s="1112"/>
      <c r="G259" s="1112"/>
      <c r="H259" s="1112"/>
      <c r="I259" s="1112"/>
      <c r="J259" s="1112"/>
      <c r="K259" s="1112"/>
      <c r="L259" s="1112"/>
      <c r="M259" s="1112"/>
    </row>
    <row r="260" spans="1:13">
      <c r="A260" s="1112"/>
      <c r="B260" s="1112"/>
      <c r="C260" s="1112"/>
      <c r="D260" s="1112"/>
      <c r="E260" s="1112"/>
      <c r="F260" s="1112"/>
      <c r="G260" s="1112"/>
      <c r="H260" s="1112"/>
      <c r="I260" s="1112"/>
      <c r="J260" s="1112"/>
      <c r="K260" s="1112"/>
      <c r="L260" s="1112"/>
      <c r="M260" s="1112"/>
    </row>
    <row r="261" spans="1:13">
      <c r="A261" s="1112"/>
      <c r="B261" s="1112"/>
      <c r="C261" s="1112"/>
      <c r="D261" s="1112"/>
      <c r="E261" s="1112"/>
      <c r="F261" s="1112"/>
      <c r="G261" s="1112"/>
      <c r="H261" s="1112"/>
      <c r="I261" s="1112"/>
      <c r="J261" s="1112"/>
      <c r="K261" s="1112"/>
      <c r="L261" s="1112"/>
      <c r="M261" s="1112"/>
    </row>
    <row r="262" spans="1:13">
      <c r="A262" s="1112"/>
      <c r="B262" s="1112"/>
      <c r="C262" s="1112"/>
      <c r="D262" s="1112"/>
      <c r="E262" s="1112"/>
      <c r="F262" s="1112"/>
      <c r="G262" s="1112"/>
      <c r="H262" s="1112"/>
      <c r="I262" s="1112"/>
      <c r="J262" s="1112"/>
      <c r="K262" s="1112"/>
      <c r="L262" s="1112"/>
      <c r="M262" s="1112"/>
    </row>
    <row r="263" spans="1:13">
      <c r="A263" s="1112"/>
      <c r="B263" s="1112"/>
      <c r="C263" s="1112"/>
      <c r="D263" s="1112"/>
      <c r="E263" s="1112"/>
      <c r="F263" s="1112"/>
      <c r="G263" s="1112"/>
      <c r="H263" s="1112"/>
      <c r="I263" s="1112"/>
      <c r="J263" s="1112"/>
      <c r="K263" s="1112"/>
      <c r="L263" s="1112"/>
      <c r="M263" s="1112"/>
    </row>
    <row r="264" spans="1:13">
      <c r="A264" s="1112"/>
      <c r="B264" s="1112"/>
      <c r="C264" s="1112"/>
      <c r="D264" s="1112"/>
      <c r="E264" s="1112"/>
      <c r="F264" s="1112"/>
      <c r="G264" s="1112"/>
      <c r="H264" s="1112"/>
      <c r="I264" s="1112"/>
      <c r="J264" s="1112"/>
      <c r="K264" s="1112"/>
      <c r="L264" s="1112"/>
      <c r="M264" s="1112"/>
    </row>
    <row r="265" spans="1:13">
      <c r="A265" s="1112"/>
      <c r="B265" s="1112"/>
      <c r="C265" s="1112"/>
      <c r="D265" s="1112"/>
      <c r="E265" s="1112"/>
      <c r="F265" s="1112"/>
      <c r="G265" s="1112"/>
      <c r="H265" s="1112"/>
      <c r="I265" s="1112"/>
      <c r="J265" s="1112"/>
      <c r="K265" s="1112"/>
      <c r="L265" s="1112"/>
      <c r="M265" s="1112"/>
    </row>
    <row r="266" spans="1:13">
      <c r="A266" s="1112"/>
      <c r="B266" s="1112"/>
      <c r="C266" s="1112"/>
      <c r="D266" s="1112"/>
      <c r="E266" s="1112"/>
      <c r="F266" s="1112"/>
      <c r="G266" s="1112"/>
      <c r="H266" s="1112"/>
      <c r="I266" s="1112"/>
      <c r="J266" s="1112"/>
      <c r="K266" s="1112"/>
      <c r="L266" s="1112"/>
      <c r="M266" s="1112"/>
    </row>
    <row r="267" spans="1:13">
      <c r="A267" s="1112"/>
      <c r="B267" s="1112"/>
      <c r="C267" s="1112"/>
      <c r="D267" s="1112"/>
      <c r="E267" s="1112"/>
      <c r="F267" s="1112"/>
      <c r="G267" s="1112"/>
      <c r="H267" s="1112"/>
      <c r="I267" s="1112"/>
      <c r="J267" s="1112"/>
      <c r="K267" s="1112"/>
      <c r="L267" s="1112"/>
      <c r="M267" s="1112"/>
    </row>
    <row r="268" spans="1:13">
      <c r="A268" s="1112"/>
      <c r="B268" s="1112"/>
      <c r="C268" s="1112"/>
      <c r="D268" s="1112"/>
      <c r="E268" s="1112"/>
      <c r="F268" s="1112"/>
      <c r="G268" s="1112"/>
      <c r="H268" s="1112"/>
      <c r="I268" s="1112"/>
      <c r="J268" s="1112"/>
      <c r="K268" s="1112"/>
      <c r="L268" s="1112"/>
      <c r="M268" s="1112"/>
    </row>
    <row r="269" spans="1:13">
      <c r="A269" s="1112"/>
      <c r="B269" s="1112"/>
      <c r="C269" s="1112"/>
      <c r="D269" s="1112"/>
      <c r="E269" s="1112"/>
      <c r="F269" s="1112"/>
      <c r="G269" s="1112"/>
      <c r="H269" s="1112"/>
      <c r="I269" s="1112"/>
      <c r="J269" s="1112"/>
      <c r="K269" s="1112"/>
      <c r="L269" s="1112"/>
      <c r="M269" s="1112"/>
    </row>
    <row r="270" spans="1:13">
      <c r="A270" s="1112"/>
      <c r="B270" s="1112"/>
      <c r="C270" s="1112"/>
      <c r="D270" s="1112"/>
      <c r="E270" s="1112"/>
      <c r="F270" s="1112"/>
      <c r="G270" s="1112"/>
      <c r="H270" s="1112"/>
      <c r="I270" s="1112"/>
      <c r="J270" s="1112"/>
      <c r="K270" s="1112"/>
      <c r="L270" s="1112"/>
      <c r="M270" s="1112"/>
    </row>
    <row r="271" spans="1:13">
      <c r="A271" s="1112"/>
      <c r="B271" s="1112"/>
      <c r="C271" s="1112"/>
      <c r="D271" s="1112"/>
      <c r="E271" s="1112"/>
      <c r="F271" s="1112"/>
      <c r="G271" s="1112"/>
      <c r="H271" s="1112"/>
      <c r="I271" s="1112"/>
      <c r="J271" s="1112"/>
      <c r="K271" s="1112"/>
      <c r="L271" s="1112"/>
      <c r="M271" s="1112"/>
    </row>
    <row r="272" spans="1:13">
      <c r="A272" s="1112"/>
      <c r="B272" s="1112"/>
      <c r="C272" s="1112"/>
      <c r="D272" s="1112"/>
      <c r="E272" s="1112"/>
      <c r="F272" s="1112"/>
      <c r="G272" s="1112"/>
      <c r="H272" s="1112"/>
      <c r="I272" s="1112"/>
      <c r="J272" s="1112"/>
      <c r="K272" s="1112"/>
      <c r="L272" s="1112"/>
      <c r="M272" s="1112"/>
    </row>
    <row r="273" spans="1:13">
      <c r="A273" s="1112"/>
      <c r="B273" s="1112"/>
      <c r="C273" s="1112"/>
      <c r="D273" s="1112"/>
      <c r="E273" s="1112"/>
      <c r="F273" s="1112"/>
      <c r="G273" s="1112"/>
      <c r="H273" s="1112"/>
      <c r="I273" s="1112"/>
      <c r="J273" s="1112"/>
      <c r="K273" s="1112"/>
      <c r="L273" s="1112"/>
      <c r="M273" s="1112"/>
    </row>
    <row r="274" spans="1:13">
      <c r="A274" s="1112"/>
      <c r="B274" s="1112"/>
      <c r="C274" s="1112"/>
      <c r="D274" s="1112"/>
      <c r="E274" s="1112"/>
      <c r="F274" s="1112"/>
      <c r="G274" s="1112"/>
      <c r="H274" s="1112"/>
      <c r="I274" s="1112"/>
      <c r="J274" s="1112"/>
      <c r="K274" s="1112"/>
      <c r="L274" s="1112"/>
      <c r="M274" s="1112"/>
    </row>
    <row r="275" spans="1:13">
      <c r="A275" s="1112"/>
      <c r="B275" s="1112"/>
      <c r="C275" s="1112"/>
      <c r="D275" s="1112"/>
      <c r="E275" s="1112"/>
      <c r="F275" s="1112"/>
      <c r="G275" s="1112"/>
      <c r="H275" s="1112"/>
      <c r="I275" s="1112"/>
      <c r="J275" s="1112"/>
      <c r="K275" s="1112"/>
      <c r="L275" s="1112"/>
      <c r="M275" s="1112"/>
    </row>
    <row r="276" spans="1:13">
      <c r="A276" s="1112"/>
      <c r="B276" s="1112"/>
      <c r="C276" s="1112"/>
      <c r="D276" s="1112"/>
      <c r="E276" s="1112"/>
      <c r="F276" s="1112"/>
      <c r="G276" s="1112"/>
      <c r="H276" s="1112"/>
      <c r="I276" s="1112"/>
      <c r="J276" s="1112"/>
      <c r="K276" s="1112"/>
      <c r="L276" s="1112"/>
      <c r="M276" s="1112"/>
    </row>
    <row r="277" spans="1:13">
      <c r="A277" s="1112"/>
      <c r="B277" s="1112"/>
      <c r="C277" s="1112"/>
      <c r="D277" s="1112"/>
      <c r="E277" s="1112"/>
      <c r="F277" s="1112"/>
      <c r="G277" s="1112"/>
      <c r="H277" s="1112"/>
      <c r="I277" s="1112"/>
      <c r="J277" s="1112"/>
      <c r="K277" s="1112"/>
      <c r="L277" s="1112"/>
      <c r="M277" s="1112"/>
    </row>
    <row r="278" spans="1:13">
      <c r="A278" s="1112"/>
      <c r="B278" s="1112"/>
      <c r="C278" s="1112"/>
      <c r="D278" s="1112"/>
      <c r="E278" s="1112"/>
      <c r="F278" s="1112"/>
      <c r="G278" s="1112"/>
      <c r="H278" s="1112"/>
      <c r="I278" s="1112"/>
      <c r="J278" s="1112"/>
      <c r="K278" s="1112"/>
      <c r="L278" s="1112"/>
      <c r="M278" s="1112"/>
    </row>
    <row r="279" spans="1:13">
      <c r="A279" s="1112"/>
      <c r="B279" s="1112"/>
      <c r="C279" s="1112"/>
      <c r="D279" s="1112"/>
      <c r="E279" s="1112"/>
      <c r="F279" s="1112"/>
      <c r="G279" s="1112"/>
      <c r="H279" s="1112"/>
      <c r="I279" s="1112"/>
      <c r="J279" s="1112"/>
      <c r="K279" s="1112"/>
      <c r="L279" s="1112"/>
      <c r="M279" s="1112"/>
    </row>
    <row r="280" spans="1:13">
      <c r="A280" s="1112"/>
      <c r="B280" s="1112"/>
      <c r="C280" s="1112"/>
      <c r="D280" s="1112"/>
      <c r="E280" s="1112"/>
      <c r="F280" s="1112"/>
      <c r="G280" s="1112"/>
      <c r="H280" s="1112"/>
      <c r="I280" s="1112"/>
      <c r="J280" s="1112"/>
      <c r="K280" s="1112"/>
      <c r="L280" s="1112"/>
      <c r="M280" s="1112"/>
    </row>
    <row r="281" spans="1:13">
      <c r="A281" s="1112"/>
      <c r="B281" s="1112"/>
      <c r="C281" s="1112"/>
      <c r="D281" s="1112"/>
      <c r="E281" s="1112"/>
      <c r="F281" s="1112"/>
      <c r="G281" s="1112"/>
      <c r="H281" s="1112"/>
      <c r="I281" s="1112"/>
      <c r="J281" s="1112"/>
      <c r="K281" s="1112"/>
      <c r="L281" s="1112"/>
      <c r="M281" s="1112"/>
    </row>
    <row r="282" spans="1:13">
      <c r="A282" s="1112"/>
      <c r="B282" s="1112"/>
      <c r="C282" s="1112"/>
      <c r="D282" s="1112"/>
      <c r="E282" s="1112"/>
      <c r="F282" s="1112"/>
      <c r="G282" s="1112"/>
      <c r="H282" s="1112"/>
      <c r="I282" s="1112"/>
      <c r="J282" s="1112"/>
      <c r="K282" s="1112"/>
      <c r="L282" s="1112"/>
      <c r="M282" s="1112"/>
    </row>
    <row r="283" spans="1:13">
      <c r="A283" s="1112"/>
      <c r="B283" s="1112"/>
      <c r="C283" s="1112"/>
      <c r="D283" s="1112"/>
      <c r="E283" s="1112"/>
      <c r="F283" s="1112"/>
      <c r="G283" s="1112"/>
      <c r="H283" s="1112"/>
      <c r="I283" s="1112"/>
      <c r="J283" s="1112"/>
      <c r="K283" s="1112"/>
      <c r="L283" s="1112"/>
      <c r="M283" s="1112"/>
    </row>
    <row r="284" spans="1:13">
      <c r="A284" s="1112"/>
      <c r="B284" s="1112"/>
      <c r="C284" s="1112"/>
      <c r="D284" s="1112"/>
      <c r="E284" s="1112"/>
      <c r="F284" s="1112"/>
      <c r="G284" s="1112"/>
      <c r="H284" s="1112"/>
      <c r="I284" s="1112"/>
      <c r="J284" s="1112"/>
      <c r="K284" s="1112"/>
      <c r="L284" s="1112"/>
      <c r="M284" s="1112"/>
    </row>
    <row r="285" spans="1:13">
      <c r="A285" s="1112"/>
      <c r="B285" s="1112"/>
      <c r="C285" s="1112"/>
      <c r="D285" s="1112"/>
      <c r="E285" s="1112"/>
      <c r="F285" s="1112"/>
      <c r="G285" s="1112"/>
      <c r="H285" s="1112"/>
      <c r="I285" s="1112"/>
      <c r="J285" s="1112"/>
      <c r="K285" s="1112"/>
      <c r="L285" s="1112"/>
      <c r="M285" s="1112"/>
    </row>
    <row r="286" spans="1:13">
      <c r="A286" s="1112"/>
      <c r="B286" s="1112"/>
      <c r="C286" s="1112"/>
      <c r="D286" s="1112"/>
      <c r="E286" s="1112"/>
      <c r="F286" s="1112"/>
      <c r="G286" s="1112"/>
      <c r="H286" s="1112"/>
      <c r="I286" s="1112"/>
      <c r="J286" s="1112"/>
      <c r="K286" s="1112"/>
      <c r="L286" s="1112"/>
      <c r="M286" s="1112"/>
    </row>
    <row r="287" spans="1:13">
      <c r="A287" s="1112"/>
      <c r="B287" s="1112"/>
      <c r="C287" s="1112"/>
      <c r="D287" s="1112"/>
      <c r="E287" s="1112"/>
      <c r="F287" s="1112"/>
      <c r="G287" s="1112"/>
      <c r="H287" s="1112"/>
      <c r="I287" s="1112"/>
      <c r="J287" s="1112"/>
      <c r="K287" s="1112"/>
      <c r="L287" s="1112"/>
      <c r="M287" s="1112"/>
    </row>
    <row r="288" spans="1:13">
      <c r="A288" s="1112"/>
      <c r="B288" s="1112"/>
      <c r="C288" s="1112"/>
      <c r="D288" s="1112"/>
      <c r="E288" s="1112"/>
      <c r="F288" s="1112"/>
      <c r="G288" s="1112"/>
      <c r="H288" s="1112"/>
      <c r="I288" s="1112"/>
      <c r="J288" s="1112"/>
      <c r="K288" s="1112"/>
      <c r="L288" s="1112"/>
      <c r="M288" s="1112"/>
    </row>
    <row r="289" spans="1:13">
      <c r="A289" s="1112"/>
      <c r="B289" s="1112"/>
      <c r="C289" s="1112"/>
      <c r="D289" s="1112"/>
      <c r="E289" s="1112"/>
      <c r="F289" s="1112"/>
      <c r="G289" s="1112"/>
      <c r="H289" s="1112"/>
      <c r="I289" s="1112"/>
      <c r="J289" s="1112"/>
      <c r="K289" s="1112"/>
      <c r="L289" s="1112"/>
      <c r="M289" s="1112"/>
    </row>
    <row r="290" spans="1:13">
      <c r="A290" s="1112"/>
      <c r="B290" s="1112"/>
      <c r="C290" s="1112"/>
      <c r="D290" s="1112"/>
      <c r="E290" s="1112"/>
      <c r="F290" s="1112"/>
      <c r="G290" s="1112"/>
      <c r="H290" s="1112"/>
      <c r="I290" s="1112"/>
      <c r="J290" s="1112"/>
      <c r="K290" s="1112"/>
      <c r="L290" s="1112"/>
      <c r="M290" s="1112"/>
    </row>
    <row r="291" spans="1:13">
      <c r="A291" s="1112"/>
      <c r="B291" s="1112"/>
      <c r="C291" s="1112"/>
      <c r="D291" s="1112"/>
      <c r="E291" s="1112"/>
      <c r="F291" s="1112"/>
      <c r="G291" s="1112"/>
      <c r="H291" s="1112"/>
      <c r="I291" s="1112"/>
      <c r="J291" s="1112"/>
      <c r="K291" s="1112"/>
      <c r="L291" s="1112"/>
      <c r="M291" s="1112"/>
    </row>
    <row r="292" spans="1:13">
      <c r="A292" s="1112"/>
      <c r="B292" s="1112"/>
      <c r="C292" s="1112"/>
      <c r="D292" s="1112"/>
      <c r="E292" s="1112"/>
      <c r="F292" s="1112"/>
      <c r="G292" s="1112"/>
      <c r="H292" s="1112"/>
      <c r="I292" s="1112"/>
      <c r="J292" s="1112"/>
      <c r="K292" s="1112"/>
      <c r="L292" s="1112"/>
      <c r="M292" s="1112"/>
    </row>
    <row r="293" spans="1:13">
      <c r="A293" s="1112"/>
      <c r="B293" s="1112"/>
      <c r="C293" s="1112"/>
      <c r="D293" s="1112"/>
      <c r="E293" s="1112"/>
      <c r="F293" s="1112"/>
      <c r="G293" s="1112"/>
      <c r="H293" s="1112"/>
      <c r="I293" s="1112"/>
      <c r="J293" s="1112"/>
      <c r="K293" s="1112"/>
      <c r="L293" s="1112"/>
      <c r="M293" s="1112"/>
    </row>
    <row r="294" spans="1:13">
      <c r="A294" s="1112"/>
      <c r="B294" s="1112"/>
      <c r="C294" s="1112"/>
      <c r="D294" s="1112"/>
      <c r="E294" s="1112"/>
      <c r="F294" s="1112"/>
      <c r="G294" s="1112"/>
      <c r="H294" s="1112"/>
      <c r="I294" s="1112"/>
      <c r="J294" s="1112"/>
      <c r="K294" s="1112"/>
      <c r="L294" s="1112"/>
      <c r="M294" s="1112"/>
    </row>
    <row r="295" spans="1:13">
      <c r="A295" s="1112"/>
      <c r="B295" s="1112"/>
      <c r="C295" s="1112"/>
      <c r="D295" s="1112"/>
      <c r="E295" s="1112"/>
      <c r="F295" s="1112"/>
      <c r="G295" s="1112"/>
      <c r="H295" s="1112"/>
      <c r="I295" s="1112"/>
      <c r="J295" s="1112"/>
      <c r="K295" s="1112"/>
      <c r="L295" s="1112"/>
      <c r="M295" s="1112"/>
    </row>
    <row r="296" spans="1:13">
      <c r="A296" s="1112"/>
      <c r="B296" s="1112"/>
      <c r="C296" s="1112"/>
      <c r="D296" s="1112"/>
      <c r="E296" s="1112"/>
      <c r="F296" s="1112"/>
      <c r="G296" s="1112"/>
      <c r="H296" s="1112"/>
      <c r="I296" s="1112"/>
      <c r="J296" s="1112"/>
      <c r="K296" s="1112"/>
      <c r="L296" s="1112"/>
      <c r="M296" s="1112"/>
    </row>
    <row r="297" spans="1:13">
      <c r="A297" s="1112"/>
      <c r="B297" s="1112"/>
      <c r="C297" s="1112"/>
      <c r="D297" s="1112"/>
      <c r="E297" s="1112"/>
      <c r="F297" s="1112"/>
      <c r="G297" s="1112"/>
      <c r="H297" s="1112"/>
      <c r="I297" s="1112"/>
      <c r="J297" s="1112"/>
      <c r="K297" s="1112"/>
      <c r="L297" s="1112"/>
      <c r="M297" s="1112"/>
    </row>
    <row r="298" spans="1:13">
      <c r="A298" s="1112"/>
      <c r="B298" s="1112"/>
      <c r="C298" s="1112"/>
      <c r="D298" s="1112"/>
      <c r="E298" s="1112"/>
      <c r="F298" s="1112"/>
      <c r="G298" s="1112"/>
      <c r="H298" s="1112"/>
      <c r="I298" s="1112"/>
      <c r="J298" s="1112"/>
      <c r="K298" s="1112"/>
      <c r="L298" s="1112"/>
      <c r="M298" s="1112"/>
    </row>
    <row r="299" spans="1:13">
      <c r="A299" s="1112"/>
      <c r="B299" s="1112"/>
      <c r="C299" s="1112"/>
      <c r="D299" s="1112"/>
      <c r="E299" s="1112"/>
      <c r="F299" s="1112"/>
      <c r="G299" s="1112"/>
      <c r="H299" s="1112"/>
      <c r="I299" s="1112"/>
      <c r="J299" s="1112"/>
      <c r="K299" s="1112"/>
      <c r="L299" s="1112"/>
      <c r="M299" s="1112"/>
    </row>
    <row r="300" spans="1:13">
      <c r="A300" s="1112"/>
      <c r="B300" s="1112"/>
      <c r="C300" s="1112"/>
      <c r="D300" s="1112"/>
      <c r="E300" s="1112"/>
      <c r="F300" s="1112"/>
      <c r="G300" s="1112"/>
      <c r="H300" s="1112"/>
      <c r="I300" s="1112"/>
      <c r="J300" s="1112"/>
      <c r="K300" s="1112"/>
      <c r="L300" s="1112"/>
      <c r="M300" s="1112"/>
    </row>
    <row r="301" spans="1:13">
      <c r="A301" s="1112"/>
      <c r="B301" s="1112"/>
      <c r="C301" s="1112"/>
      <c r="D301" s="1112"/>
      <c r="E301" s="1112"/>
      <c r="F301" s="1112"/>
      <c r="G301" s="1112"/>
      <c r="H301" s="1112"/>
      <c r="I301" s="1112"/>
      <c r="J301" s="1112"/>
      <c r="K301" s="1112"/>
      <c r="L301" s="1112"/>
      <c r="M301" s="1112"/>
    </row>
    <row r="302" spans="1:13">
      <c r="A302" s="1112"/>
      <c r="B302" s="1112"/>
      <c r="C302" s="1112"/>
      <c r="D302" s="1112"/>
      <c r="E302" s="1112"/>
      <c r="F302" s="1112"/>
      <c r="G302" s="1112"/>
      <c r="H302" s="1112"/>
      <c r="I302" s="1112"/>
      <c r="J302" s="1112"/>
      <c r="K302" s="1112"/>
      <c r="L302" s="1112"/>
      <c r="M302" s="1112"/>
    </row>
    <row r="303" spans="1:13">
      <c r="A303" s="1112"/>
      <c r="B303" s="1112"/>
      <c r="C303" s="1112"/>
      <c r="D303" s="1112"/>
      <c r="E303" s="1112"/>
      <c r="F303" s="1112"/>
      <c r="G303" s="1112"/>
      <c r="H303" s="1112"/>
      <c r="I303" s="1112"/>
      <c r="J303" s="1112"/>
      <c r="K303" s="1112"/>
      <c r="L303" s="1112"/>
      <c r="M303" s="1112"/>
    </row>
    <row r="304" spans="1:13">
      <c r="A304" s="1112"/>
      <c r="B304" s="1112"/>
      <c r="C304" s="1112"/>
      <c r="D304" s="1112"/>
      <c r="E304" s="1112"/>
      <c r="F304" s="1112"/>
      <c r="G304" s="1112"/>
      <c r="H304" s="1112"/>
      <c r="I304" s="1112"/>
      <c r="J304" s="1112"/>
      <c r="K304" s="1112"/>
      <c r="L304" s="1112"/>
      <c r="M304" s="1112"/>
    </row>
    <row r="305" spans="1:13">
      <c r="A305" s="1112"/>
      <c r="B305" s="1112"/>
      <c r="C305" s="1112"/>
      <c r="D305" s="1112"/>
      <c r="E305" s="1112"/>
      <c r="F305" s="1112"/>
      <c r="G305" s="1112"/>
      <c r="H305" s="1112"/>
      <c r="I305" s="1112"/>
      <c r="J305" s="1112"/>
      <c r="K305" s="1112"/>
      <c r="L305" s="1112"/>
      <c r="M305" s="1112"/>
    </row>
    <row r="306" spans="1:13">
      <c r="A306" s="1112"/>
      <c r="B306" s="1112"/>
      <c r="C306" s="1112"/>
      <c r="D306" s="1112"/>
      <c r="E306" s="1112"/>
      <c r="F306" s="1112"/>
      <c r="G306" s="1112"/>
      <c r="H306" s="1112"/>
      <c r="I306" s="1112"/>
      <c r="J306" s="1112"/>
      <c r="K306" s="1112"/>
      <c r="L306" s="1112"/>
      <c r="M306" s="1112"/>
    </row>
    <row r="307" spans="1:13">
      <c r="A307" s="1112"/>
      <c r="B307" s="1112"/>
      <c r="C307" s="1112"/>
      <c r="D307" s="1112"/>
      <c r="E307" s="1112"/>
      <c r="F307" s="1112"/>
      <c r="G307" s="1112"/>
      <c r="H307" s="1112"/>
      <c r="I307" s="1112"/>
      <c r="J307" s="1112"/>
      <c r="K307" s="1112"/>
      <c r="L307" s="1112"/>
      <c r="M307" s="1112"/>
    </row>
    <row r="308" spans="1:13">
      <c r="A308" s="1112"/>
      <c r="B308" s="1112"/>
      <c r="C308" s="1112"/>
      <c r="D308" s="1112"/>
      <c r="E308" s="1112"/>
      <c r="F308" s="1112"/>
      <c r="G308" s="1112"/>
      <c r="H308" s="1112"/>
      <c r="I308" s="1112"/>
      <c r="J308" s="1112"/>
      <c r="K308" s="1112"/>
      <c r="L308" s="1112"/>
      <c r="M308" s="1112"/>
    </row>
    <row r="309" spans="1:13">
      <c r="A309" s="1112"/>
      <c r="B309" s="1112"/>
      <c r="C309" s="1112"/>
      <c r="D309" s="1112"/>
      <c r="E309" s="1112"/>
      <c r="F309" s="1112"/>
      <c r="G309" s="1112"/>
      <c r="H309" s="1112"/>
      <c r="I309" s="1112"/>
      <c r="J309" s="1112"/>
      <c r="K309" s="1112"/>
      <c r="L309" s="1112"/>
      <c r="M309" s="1112"/>
    </row>
    <row r="310" spans="1:13">
      <c r="A310" s="1112"/>
      <c r="B310" s="1112"/>
      <c r="C310" s="1112"/>
      <c r="D310" s="1112"/>
      <c r="E310" s="1112"/>
      <c r="F310" s="1112"/>
      <c r="G310" s="1112"/>
      <c r="H310" s="1112"/>
      <c r="I310" s="1112"/>
      <c r="J310" s="1112"/>
      <c r="K310" s="1112"/>
      <c r="L310" s="1112"/>
      <c r="M310" s="1112"/>
    </row>
    <row r="311" spans="1:13">
      <c r="A311" s="1112"/>
      <c r="B311" s="1112"/>
      <c r="C311" s="1112"/>
      <c r="D311" s="1112"/>
      <c r="E311" s="1112"/>
      <c r="F311" s="1112"/>
      <c r="G311" s="1112"/>
      <c r="H311" s="1112"/>
      <c r="I311" s="1112"/>
      <c r="J311" s="1112"/>
      <c r="K311" s="1112"/>
      <c r="L311" s="1112"/>
      <c r="M311" s="1112"/>
    </row>
    <row r="312" spans="1:13">
      <c r="A312" s="1112"/>
      <c r="B312" s="1112"/>
      <c r="C312" s="1112"/>
      <c r="D312" s="1112"/>
      <c r="E312" s="1112"/>
      <c r="F312" s="1112"/>
      <c r="G312" s="1112"/>
      <c r="H312" s="1112"/>
      <c r="I312" s="1112"/>
      <c r="J312" s="1112"/>
      <c r="K312" s="1112"/>
      <c r="L312" s="1112"/>
      <c r="M312" s="1112"/>
    </row>
    <row r="313" spans="1:13">
      <c r="A313" s="1112"/>
      <c r="B313" s="1112"/>
      <c r="C313" s="1112"/>
      <c r="D313" s="1112"/>
      <c r="E313" s="1112"/>
      <c r="F313" s="1112"/>
      <c r="G313" s="1112"/>
      <c r="H313" s="1112"/>
      <c r="I313" s="1112"/>
      <c r="J313" s="1112"/>
      <c r="K313" s="1112"/>
      <c r="L313" s="1112"/>
      <c r="M313" s="1112"/>
    </row>
    <row r="314" spans="1:13">
      <c r="A314" s="1112"/>
      <c r="B314" s="1112"/>
      <c r="C314" s="1112"/>
      <c r="D314" s="1112"/>
      <c r="E314" s="1112"/>
      <c r="F314" s="1112"/>
      <c r="G314" s="1112"/>
      <c r="H314" s="1112"/>
      <c r="I314" s="1112"/>
      <c r="J314" s="1112"/>
      <c r="K314" s="1112"/>
      <c r="L314" s="1112"/>
      <c r="M314" s="1112"/>
    </row>
    <row r="315" spans="1:13">
      <c r="A315" s="1112"/>
      <c r="B315" s="1112"/>
      <c r="C315" s="1112"/>
      <c r="D315" s="1112"/>
      <c r="E315" s="1112"/>
      <c r="F315" s="1112"/>
      <c r="G315" s="1112"/>
      <c r="H315" s="1112"/>
      <c r="I315" s="1112"/>
      <c r="J315" s="1112"/>
      <c r="K315" s="1112"/>
      <c r="L315" s="1112"/>
      <c r="M315" s="1112"/>
    </row>
    <row r="316" spans="1:13">
      <c r="A316" s="1112"/>
      <c r="B316" s="1112"/>
      <c r="C316" s="1112"/>
      <c r="D316" s="1112"/>
      <c r="E316" s="1112"/>
      <c r="F316" s="1112"/>
      <c r="G316" s="1112"/>
      <c r="H316" s="1112"/>
      <c r="I316" s="1112"/>
      <c r="J316" s="1112"/>
      <c r="K316" s="1112"/>
      <c r="L316" s="1112"/>
      <c r="M316" s="1112"/>
    </row>
    <row r="317" spans="1:13">
      <c r="A317" s="1112"/>
      <c r="B317" s="1112"/>
      <c r="C317" s="1112"/>
      <c r="D317" s="1112"/>
      <c r="E317" s="1112"/>
      <c r="F317" s="1112"/>
      <c r="G317" s="1112"/>
      <c r="H317" s="1112"/>
      <c r="I317" s="1112"/>
      <c r="J317" s="1112"/>
      <c r="K317" s="1112"/>
      <c r="L317" s="1112"/>
      <c r="M317" s="1112"/>
    </row>
    <row r="318" spans="1:13">
      <c r="A318" s="1112"/>
      <c r="B318" s="1112"/>
      <c r="C318" s="1112"/>
      <c r="D318" s="1112"/>
      <c r="E318" s="1112"/>
      <c r="F318" s="1112"/>
      <c r="G318" s="1112"/>
      <c r="H318" s="1112"/>
      <c r="I318" s="1112"/>
      <c r="J318" s="1112"/>
      <c r="K318" s="1112"/>
      <c r="L318" s="1112"/>
      <c r="M318" s="1112"/>
    </row>
    <row r="319" spans="1:13">
      <c r="A319" s="1112"/>
      <c r="B319" s="1112"/>
      <c r="C319" s="1112"/>
      <c r="D319" s="1112"/>
      <c r="E319" s="1112"/>
      <c r="F319" s="1112"/>
      <c r="G319" s="1112"/>
      <c r="H319" s="1112"/>
      <c r="I319" s="1112"/>
      <c r="J319" s="1112"/>
      <c r="K319" s="1112"/>
      <c r="L319" s="1112"/>
      <c r="M319" s="1112"/>
    </row>
    <row r="320" spans="1:13">
      <c r="A320" s="1112"/>
      <c r="B320" s="1112"/>
      <c r="C320" s="1112"/>
      <c r="D320" s="1112"/>
      <c r="E320" s="1112"/>
      <c r="F320" s="1112"/>
      <c r="G320" s="1112"/>
      <c r="H320" s="1112"/>
      <c r="I320" s="1112"/>
      <c r="J320" s="1112"/>
      <c r="K320" s="1112"/>
      <c r="L320" s="1112"/>
      <c r="M320" s="1112"/>
    </row>
    <row r="321" spans="1:13">
      <c r="A321" s="1112"/>
      <c r="B321" s="1112"/>
      <c r="C321" s="1112"/>
      <c r="D321" s="1112"/>
      <c r="E321" s="1112"/>
      <c r="F321" s="1112"/>
      <c r="G321" s="1112"/>
      <c r="H321" s="1112"/>
      <c r="I321" s="1112"/>
      <c r="J321" s="1112"/>
      <c r="K321" s="1112"/>
      <c r="L321" s="1112"/>
      <c r="M321" s="1112"/>
    </row>
    <row r="322" spans="1:13">
      <c r="A322" s="1112"/>
      <c r="B322" s="1112"/>
      <c r="C322" s="1112"/>
      <c r="D322" s="1112"/>
      <c r="E322" s="1112"/>
      <c r="F322" s="1112"/>
      <c r="G322" s="1112"/>
      <c r="H322" s="1112"/>
      <c r="I322" s="1112"/>
      <c r="J322" s="1112"/>
      <c r="K322" s="1112"/>
      <c r="L322" s="1112"/>
      <c r="M322" s="1112"/>
    </row>
    <row r="323" spans="1:13">
      <c r="A323" s="1112"/>
      <c r="B323" s="1112"/>
      <c r="C323" s="1112"/>
      <c r="D323" s="1112"/>
      <c r="E323" s="1112"/>
      <c r="F323" s="1112"/>
      <c r="G323" s="1112"/>
      <c r="H323" s="1112"/>
      <c r="I323" s="1112"/>
      <c r="J323" s="1112"/>
      <c r="K323" s="1112"/>
      <c r="L323" s="1112"/>
      <c r="M323" s="1112"/>
    </row>
    <row r="324" spans="1:13">
      <c r="A324" s="1112"/>
      <c r="B324" s="1112"/>
      <c r="C324" s="1112"/>
      <c r="D324" s="1112"/>
      <c r="E324" s="1112"/>
      <c r="F324" s="1112"/>
      <c r="G324" s="1112"/>
      <c r="H324" s="1112"/>
      <c r="I324" s="1112"/>
      <c r="J324" s="1112"/>
      <c r="K324" s="1112"/>
      <c r="L324" s="1112"/>
      <c r="M324" s="1112"/>
    </row>
    <row r="325" spans="1:13">
      <c r="A325" s="1112"/>
      <c r="B325" s="1112"/>
      <c r="C325" s="1112"/>
      <c r="D325" s="1112"/>
      <c r="E325" s="1112"/>
      <c r="F325" s="1112"/>
      <c r="G325" s="1112"/>
      <c r="H325" s="1112"/>
      <c r="I325" s="1112"/>
      <c r="J325" s="1112"/>
      <c r="K325" s="1112"/>
      <c r="L325" s="1112"/>
      <c r="M325" s="1112"/>
    </row>
    <row r="326" spans="1:13">
      <c r="A326" s="1112"/>
      <c r="B326" s="1112"/>
      <c r="C326" s="1112"/>
      <c r="D326" s="1112"/>
      <c r="E326" s="1112"/>
      <c r="F326" s="1112"/>
      <c r="G326" s="1112"/>
      <c r="H326" s="1112"/>
      <c r="I326" s="1112"/>
      <c r="J326" s="1112"/>
      <c r="K326" s="1112"/>
      <c r="L326" s="1112"/>
      <c r="M326" s="1112"/>
    </row>
    <row r="327" spans="1:13">
      <c r="A327" s="1112"/>
      <c r="B327" s="1112"/>
      <c r="C327" s="1112"/>
      <c r="D327" s="1112"/>
      <c r="E327" s="1112"/>
      <c r="F327" s="1112"/>
      <c r="G327" s="1112"/>
      <c r="H327" s="1112"/>
      <c r="I327" s="1112"/>
      <c r="J327" s="1112"/>
      <c r="K327" s="1112"/>
      <c r="L327" s="1112"/>
      <c r="M327" s="1112"/>
    </row>
    <row r="328" spans="1:13">
      <c r="A328" s="1112"/>
      <c r="B328" s="1112"/>
      <c r="C328" s="1112"/>
      <c r="D328" s="1112"/>
      <c r="E328" s="1112"/>
      <c r="F328" s="1112"/>
      <c r="G328" s="1112"/>
      <c r="H328" s="1112"/>
      <c r="I328" s="1112"/>
      <c r="J328" s="1112"/>
      <c r="K328" s="1112"/>
      <c r="L328" s="1112"/>
      <c r="M328" s="1112"/>
    </row>
    <row r="329" spans="1:13">
      <c r="A329" s="1112"/>
      <c r="B329" s="1112"/>
      <c r="C329" s="1112"/>
      <c r="D329" s="1112"/>
      <c r="E329" s="1112"/>
      <c r="F329" s="1112"/>
      <c r="G329" s="1112"/>
      <c r="H329" s="1112"/>
      <c r="I329" s="1112"/>
      <c r="J329" s="1112"/>
      <c r="K329" s="1112"/>
      <c r="L329" s="1112"/>
      <c r="M329" s="1112"/>
    </row>
    <row r="330" spans="1:13">
      <c r="A330" s="1112"/>
      <c r="B330" s="1112"/>
      <c r="C330" s="1112"/>
      <c r="D330" s="1112"/>
      <c r="E330" s="1112"/>
      <c r="F330" s="1112"/>
      <c r="G330" s="1112"/>
      <c r="H330" s="1112"/>
      <c r="I330" s="1112"/>
      <c r="J330" s="1112"/>
      <c r="K330" s="1112"/>
      <c r="L330" s="1112"/>
      <c r="M330" s="1112"/>
    </row>
    <row r="331" spans="1:13">
      <c r="A331" s="1112"/>
      <c r="B331" s="1112"/>
      <c r="C331" s="1112"/>
      <c r="D331" s="1112"/>
      <c r="E331" s="1112"/>
      <c r="F331" s="1112"/>
      <c r="G331" s="1112"/>
      <c r="H331" s="1112"/>
      <c r="I331" s="1112"/>
      <c r="J331" s="1112"/>
      <c r="K331" s="1112"/>
      <c r="L331" s="1112"/>
      <c r="M331" s="1112"/>
    </row>
    <row r="332" spans="1:13">
      <c r="A332" s="1112"/>
      <c r="B332" s="1112"/>
      <c r="C332" s="1112"/>
      <c r="D332" s="1112"/>
      <c r="E332" s="1112"/>
      <c r="F332" s="1112"/>
      <c r="G332" s="1112"/>
      <c r="H332" s="1112"/>
      <c r="I332" s="1112"/>
      <c r="J332" s="1112"/>
      <c r="K332" s="1112"/>
      <c r="L332" s="1112"/>
      <c r="M332" s="1112"/>
    </row>
    <row r="333" spans="1:13">
      <c r="A333" s="1112"/>
      <c r="B333" s="1112"/>
      <c r="C333" s="1112"/>
      <c r="D333" s="1112"/>
      <c r="E333" s="1112"/>
      <c r="F333" s="1112"/>
      <c r="G333" s="1112"/>
      <c r="H333" s="1112"/>
      <c r="I333" s="1112"/>
      <c r="J333" s="1112"/>
      <c r="K333" s="1112"/>
      <c r="L333" s="1112"/>
      <c r="M333" s="1112"/>
    </row>
    <row r="334" spans="1:13">
      <c r="A334" s="1112"/>
      <c r="B334" s="1112"/>
      <c r="C334" s="1112"/>
      <c r="D334" s="1112"/>
      <c r="E334" s="1112"/>
      <c r="F334" s="1112"/>
      <c r="G334" s="1112"/>
      <c r="H334" s="1112"/>
      <c r="I334" s="1112"/>
      <c r="J334" s="1112"/>
      <c r="K334" s="1112"/>
      <c r="L334" s="1112"/>
      <c r="M334" s="1112"/>
    </row>
    <row r="335" spans="1:13">
      <c r="A335" s="1112"/>
      <c r="B335" s="1112"/>
      <c r="C335" s="1112"/>
      <c r="D335" s="1112"/>
      <c r="E335" s="1112"/>
      <c r="F335" s="1112"/>
      <c r="G335" s="1112"/>
      <c r="H335" s="1112"/>
      <c r="I335" s="1112"/>
      <c r="J335" s="1112"/>
      <c r="K335" s="1112"/>
      <c r="L335" s="1112"/>
      <c r="M335" s="1112"/>
    </row>
    <row r="336" spans="1:13">
      <c r="A336" s="1112"/>
      <c r="B336" s="1112"/>
      <c r="C336" s="1112"/>
      <c r="D336" s="1112"/>
      <c r="E336" s="1112"/>
      <c r="F336" s="1112"/>
      <c r="G336" s="1112"/>
      <c r="H336" s="1112"/>
      <c r="I336" s="1112"/>
      <c r="J336" s="1112"/>
      <c r="K336" s="1112"/>
      <c r="L336" s="1112"/>
      <c r="M336" s="1112"/>
    </row>
    <row r="337" spans="1:13">
      <c r="A337" s="1112"/>
      <c r="B337" s="1112"/>
      <c r="C337" s="1112"/>
      <c r="D337" s="1112"/>
      <c r="E337" s="1112"/>
      <c r="F337" s="1112"/>
      <c r="G337" s="1112"/>
      <c r="H337" s="1112"/>
      <c r="I337" s="1112"/>
      <c r="J337" s="1112"/>
      <c r="K337" s="1112"/>
      <c r="L337" s="1112"/>
      <c r="M337" s="1112"/>
    </row>
    <row r="338" spans="1:13">
      <c r="A338" s="1112"/>
      <c r="B338" s="1112"/>
      <c r="C338" s="1112"/>
      <c r="D338" s="1112"/>
      <c r="E338" s="1112"/>
      <c r="F338" s="1112"/>
      <c r="G338" s="1112"/>
      <c r="H338" s="1112"/>
      <c r="I338" s="1112"/>
      <c r="J338" s="1112"/>
      <c r="K338" s="1112"/>
      <c r="L338" s="1112"/>
      <c r="M338" s="1112"/>
    </row>
    <row r="339" spans="1:13">
      <c r="A339" s="1112"/>
      <c r="B339" s="1112"/>
      <c r="C339" s="1112"/>
      <c r="D339" s="1112"/>
      <c r="E339" s="1112"/>
      <c r="F339" s="1112"/>
      <c r="G339" s="1112"/>
      <c r="H339" s="1112"/>
      <c r="I339" s="1112"/>
      <c r="J339" s="1112"/>
      <c r="K339" s="1112"/>
      <c r="L339" s="1112"/>
      <c r="M339" s="1112"/>
    </row>
    <row r="340" spans="1:13">
      <c r="A340" s="1112"/>
      <c r="B340" s="1112"/>
      <c r="C340" s="1112"/>
      <c r="D340" s="1112"/>
      <c r="E340" s="1112"/>
      <c r="F340" s="1112"/>
      <c r="G340" s="1112"/>
      <c r="H340" s="1112"/>
      <c r="I340" s="1112"/>
      <c r="J340" s="1112"/>
      <c r="K340" s="1112"/>
      <c r="L340" s="1112"/>
      <c r="M340" s="1112"/>
    </row>
    <row r="341" spans="1:13">
      <c r="A341" s="1112"/>
      <c r="B341" s="1112"/>
      <c r="C341" s="1112"/>
      <c r="D341" s="1112"/>
      <c r="E341" s="1112"/>
      <c r="F341" s="1112"/>
      <c r="G341" s="1112"/>
      <c r="H341" s="1112"/>
      <c r="I341" s="1112"/>
      <c r="J341" s="1112"/>
      <c r="K341" s="1112"/>
      <c r="L341" s="1112"/>
      <c r="M341" s="1112"/>
    </row>
    <row r="342" spans="1:13">
      <c r="A342" s="1112"/>
      <c r="B342" s="1112"/>
      <c r="C342" s="1112"/>
      <c r="D342" s="1112"/>
      <c r="E342" s="1112"/>
      <c r="F342" s="1112"/>
      <c r="G342" s="1112"/>
      <c r="H342" s="1112"/>
      <c r="I342" s="1112"/>
      <c r="J342" s="1112"/>
      <c r="K342" s="1112"/>
      <c r="L342" s="1112"/>
      <c r="M342" s="1112"/>
    </row>
    <row r="343" spans="1:13">
      <c r="A343" s="1112"/>
      <c r="B343" s="1112"/>
      <c r="C343" s="1112"/>
      <c r="D343" s="1112"/>
      <c r="E343" s="1112"/>
      <c r="F343" s="1112"/>
      <c r="G343" s="1112"/>
      <c r="H343" s="1112"/>
      <c r="I343" s="1112"/>
      <c r="J343" s="1112"/>
      <c r="K343" s="1112"/>
      <c r="L343" s="1112"/>
      <c r="M343" s="1112"/>
    </row>
    <row r="344" spans="1:13">
      <c r="A344" s="1112"/>
      <c r="B344" s="1112"/>
      <c r="C344" s="1112"/>
      <c r="D344" s="1112"/>
      <c r="E344" s="1112"/>
      <c r="F344" s="1112"/>
      <c r="G344" s="1112"/>
      <c r="H344" s="1112"/>
      <c r="I344" s="1112"/>
      <c r="J344" s="1112"/>
      <c r="K344" s="1112"/>
      <c r="L344" s="1112"/>
      <c r="M344" s="1112"/>
    </row>
    <row r="345" spans="1:13">
      <c r="A345" s="1112"/>
      <c r="B345" s="1112"/>
      <c r="C345" s="1112"/>
      <c r="D345" s="1112"/>
      <c r="E345" s="1112"/>
      <c r="F345" s="1112"/>
      <c r="G345" s="1112"/>
      <c r="H345" s="1112"/>
      <c r="I345" s="1112"/>
      <c r="J345" s="1112"/>
      <c r="K345" s="1112"/>
      <c r="L345" s="1112"/>
      <c r="M345" s="1112"/>
    </row>
    <row r="346" spans="1:13">
      <c r="A346" s="1112"/>
      <c r="B346" s="1112"/>
      <c r="C346" s="1112"/>
      <c r="D346" s="1112"/>
      <c r="E346" s="1112"/>
      <c r="F346" s="1112"/>
      <c r="G346" s="1112"/>
      <c r="H346" s="1112"/>
      <c r="I346" s="1112"/>
      <c r="J346" s="1112"/>
      <c r="K346" s="1112"/>
      <c r="L346" s="1112"/>
      <c r="M346" s="1112"/>
    </row>
    <row r="347" spans="1:13">
      <c r="A347" s="1112"/>
      <c r="B347" s="1112"/>
      <c r="C347" s="1112"/>
      <c r="D347" s="1112"/>
      <c r="E347" s="1112"/>
      <c r="F347" s="1112"/>
      <c r="G347" s="1112"/>
      <c r="H347" s="1112"/>
      <c r="I347" s="1112"/>
      <c r="J347" s="1112"/>
      <c r="K347" s="1112"/>
      <c r="L347" s="1112"/>
      <c r="M347" s="1112"/>
    </row>
    <row r="348" spans="1:13">
      <c r="A348" s="1112"/>
      <c r="B348" s="1112"/>
      <c r="C348" s="1112"/>
      <c r="D348" s="1112"/>
      <c r="E348" s="1112"/>
      <c r="F348" s="1112"/>
      <c r="G348" s="1112"/>
      <c r="H348" s="1112"/>
      <c r="I348" s="1112"/>
      <c r="J348" s="1112"/>
      <c r="K348" s="1112"/>
      <c r="L348" s="1112"/>
      <c r="M348" s="1112"/>
    </row>
    <row r="349" spans="1:13">
      <c r="A349" s="1112"/>
      <c r="B349" s="1112"/>
      <c r="C349" s="1112"/>
      <c r="D349" s="1112"/>
      <c r="E349" s="1112"/>
      <c r="F349" s="1112"/>
      <c r="G349" s="1112"/>
      <c r="H349" s="1112"/>
      <c r="I349" s="1112"/>
      <c r="J349" s="1112"/>
      <c r="K349" s="1112"/>
      <c r="L349" s="1112"/>
      <c r="M349" s="1112"/>
    </row>
    <row r="350" spans="1:13">
      <c r="A350" s="1112"/>
      <c r="B350" s="1112"/>
      <c r="C350" s="1112"/>
      <c r="D350" s="1112"/>
      <c r="E350" s="1112"/>
      <c r="F350" s="1112"/>
      <c r="G350" s="1112"/>
      <c r="H350" s="1112"/>
      <c r="I350" s="1112"/>
      <c r="J350" s="1112"/>
      <c r="K350" s="1112"/>
      <c r="L350" s="1112"/>
      <c r="M350" s="1112"/>
    </row>
    <row r="351" spans="1:13">
      <c r="A351" s="1112"/>
      <c r="B351" s="1112"/>
      <c r="C351" s="1112"/>
      <c r="D351" s="1112"/>
      <c r="E351" s="1112"/>
      <c r="F351" s="1112"/>
      <c r="G351" s="1112"/>
      <c r="H351" s="1112"/>
      <c r="I351" s="1112"/>
      <c r="J351" s="1112"/>
      <c r="K351" s="1112"/>
      <c r="L351" s="1112"/>
      <c r="M351" s="1112"/>
    </row>
    <row r="352" spans="1:13">
      <c r="A352" s="1112"/>
      <c r="B352" s="1112"/>
      <c r="C352" s="1112"/>
      <c r="D352" s="1112"/>
      <c r="E352" s="1112"/>
      <c r="F352" s="1112"/>
      <c r="G352" s="1112"/>
      <c r="H352" s="1112"/>
      <c r="I352" s="1112"/>
      <c r="J352" s="1112"/>
      <c r="K352" s="1112"/>
      <c r="L352" s="1112"/>
      <c r="M352" s="1112"/>
    </row>
    <row r="353" spans="1:13">
      <c r="A353" s="1112"/>
      <c r="B353" s="1112"/>
      <c r="C353" s="1112"/>
      <c r="D353" s="1112"/>
      <c r="E353" s="1112"/>
      <c r="F353" s="1112"/>
      <c r="G353" s="1112"/>
      <c r="H353" s="1112"/>
      <c r="I353" s="1112"/>
      <c r="J353" s="1112"/>
      <c r="K353" s="1112"/>
      <c r="L353" s="1112"/>
      <c r="M353" s="1112"/>
    </row>
    <row r="354" spans="1:13">
      <c r="A354" s="1112"/>
      <c r="B354" s="1112"/>
      <c r="C354" s="1112"/>
      <c r="D354" s="1112"/>
      <c r="E354" s="1112"/>
      <c r="F354" s="1112"/>
      <c r="G354" s="1112"/>
      <c r="H354" s="1112"/>
      <c r="I354" s="1112"/>
      <c r="J354" s="1112"/>
      <c r="K354" s="1112"/>
      <c r="L354" s="1112"/>
      <c r="M354" s="1112"/>
    </row>
    <row r="355" spans="1:13">
      <c r="A355" s="1112"/>
      <c r="B355" s="1112"/>
      <c r="C355" s="1112"/>
      <c r="D355" s="1112"/>
      <c r="E355" s="1112"/>
      <c r="F355" s="1112"/>
      <c r="G355" s="1112"/>
      <c r="H355" s="1112"/>
      <c r="I355" s="1112"/>
      <c r="J355" s="1112"/>
      <c r="K355" s="1112"/>
      <c r="L355" s="1112"/>
      <c r="M355" s="1112"/>
    </row>
    <row r="356" spans="1:13">
      <c r="A356" s="1112"/>
      <c r="B356" s="1112"/>
      <c r="C356" s="1112"/>
      <c r="D356" s="1112"/>
      <c r="E356" s="1112"/>
      <c r="F356" s="1112"/>
      <c r="G356" s="1112"/>
      <c r="H356" s="1112"/>
      <c r="I356" s="1112"/>
      <c r="J356" s="1112"/>
      <c r="K356" s="1112"/>
      <c r="L356" s="1112"/>
      <c r="M356" s="1112"/>
    </row>
    <row r="357" spans="1:13">
      <c r="A357" s="1112"/>
      <c r="B357" s="1112"/>
      <c r="C357" s="1112"/>
      <c r="D357" s="1112"/>
      <c r="E357" s="1112"/>
      <c r="F357" s="1112"/>
      <c r="G357" s="1112"/>
      <c r="H357" s="1112"/>
      <c r="I357" s="1112"/>
      <c r="J357" s="1112"/>
      <c r="K357" s="1112"/>
      <c r="L357" s="1112"/>
      <c r="M357" s="1112"/>
    </row>
    <row r="358" spans="1:13">
      <c r="A358" s="1112"/>
      <c r="B358" s="1112"/>
      <c r="C358" s="1112"/>
      <c r="D358" s="1112"/>
      <c r="E358" s="1112"/>
      <c r="F358" s="1112"/>
      <c r="G358" s="1112"/>
      <c r="H358" s="1112"/>
      <c r="I358" s="1112"/>
      <c r="J358" s="1112"/>
      <c r="K358" s="1112"/>
      <c r="L358" s="1112"/>
      <c r="M358" s="1112"/>
    </row>
    <row r="359" spans="1:13">
      <c r="A359" s="1112"/>
      <c r="B359" s="1112"/>
      <c r="C359" s="1112"/>
      <c r="D359" s="1112"/>
      <c r="E359" s="1112"/>
      <c r="F359" s="1112"/>
      <c r="G359" s="1112"/>
      <c r="H359" s="1112"/>
      <c r="I359" s="1112"/>
      <c r="J359" s="1112"/>
      <c r="K359" s="1112"/>
      <c r="L359" s="1112"/>
      <c r="M359" s="1112"/>
    </row>
    <row r="360" spans="1:13">
      <c r="A360" s="1112"/>
      <c r="B360" s="1112"/>
      <c r="C360" s="1112"/>
      <c r="D360" s="1112"/>
      <c r="E360" s="1112"/>
      <c r="F360" s="1112"/>
      <c r="G360" s="1112"/>
      <c r="H360" s="1112"/>
      <c r="I360" s="1112"/>
      <c r="J360" s="1112"/>
      <c r="K360" s="1112"/>
      <c r="L360" s="1112"/>
      <c r="M360" s="1112"/>
    </row>
    <row r="361" spans="1:13">
      <c r="A361" s="1112"/>
      <c r="B361" s="1112"/>
      <c r="C361" s="1112"/>
      <c r="D361" s="1112"/>
      <c r="E361" s="1112"/>
      <c r="F361" s="1112"/>
      <c r="G361" s="1112"/>
      <c r="H361" s="1112"/>
      <c r="I361" s="1112"/>
      <c r="J361" s="1112"/>
      <c r="K361" s="1112"/>
      <c r="L361" s="1112"/>
      <c r="M361" s="1112"/>
    </row>
    <row r="362" spans="1:13">
      <c r="A362" s="1112"/>
      <c r="B362" s="1112"/>
      <c r="C362" s="1112"/>
      <c r="D362" s="1112"/>
      <c r="E362" s="1112"/>
      <c r="F362" s="1112"/>
      <c r="G362" s="1112"/>
      <c r="H362" s="1112"/>
      <c r="I362" s="1112"/>
      <c r="J362" s="1112"/>
      <c r="K362" s="1112"/>
      <c r="L362" s="1112"/>
      <c r="M362" s="1112"/>
    </row>
    <row r="363" spans="1:13">
      <c r="A363" s="1112"/>
      <c r="B363" s="1112"/>
      <c r="C363" s="1112"/>
      <c r="D363" s="1112"/>
      <c r="E363" s="1112"/>
      <c r="F363" s="1112"/>
      <c r="G363" s="1112"/>
      <c r="H363" s="1112"/>
      <c r="I363" s="1112"/>
      <c r="J363" s="1112"/>
      <c r="K363" s="1112"/>
      <c r="L363" s="1112"/>
      <c r="M363" s="1112"/>
    </row>
    <row r="364" spans="1:13">
      <c r="A364" s="1112"/>
      <c r="B364" s="1112"/>
      <c r="C364" s="1112"/>
      <c r="D364" s="1112"/>
      <c r="E364" s="1112"/>
      <c r="F364" s="1112"/>
      <c r="G364" s="1112"/>
      <c r="H364" s="1112"/>
      <c r="I364" s="1112"/>
      <c r="J364" s="1112"/>
      <c r="K364" s="1112"/>
      <c r="L364" s="1112"/>
      <c r="M364" s="1112"/>
    </row>
    <row r="365" spans="1:13">
      <c r="A365" s="1112"/>
      <c r="B365" s="1112"/>
      <c r="C365" s="1112"/>
      <c r="D365" s="1112"/>
      <c r="E365" s="1112"/>
      <c r="F365" s="1112"/>
      <c r="G365" s="1112"/>
      <c r="H365" s="1112"/>
      <c r="I365" s="1112"/>
      <c r="J365" s="1112"/>
      <c r="K365" s="1112"/>
      <c r="L365" s="1112"/>
      <c r="M365" s="1112"/>
    </row>
    <row r="366" spans="1:13">
      <c r="A366" s="1112"/>
      <c r="B366" s="1112"/>
      <c r="C366" s="1112"/>
      <c r="D366" s="1112"/>
      <c r="E366" s="1112"/>
      <c r="F366" s="1112"/>
      <c r="G366" s="1112"/>
      <c r="H366" s="1112"/>
      <c r="I366" s="1112"/>
      <c r="J366" s="1112"/>
      <c r="K366" s="1112"/>
      <c r="L366" s="1112"/>
      <c r="M366" s="1112"/>
    </row>
    <row r="367" spans="1:13">
      <c r="A367" s="1112"/>
      <c r="B367" s="1112"/>
      <c r="C367" s="1112"/>
      <c r="D367" s="1112"/>
      <c r="E367" s="1112"/>
      <c r="F367" s="1112"/>
      <c r="G367" s="1112"/>
      <c r="H367" s="1112"/>
      <c r="I367" s="1112"/>
      <c r="J367" s="1112"/>
      <c r="K367" s="1112"/>
      <c r="L367" s="1112"/>
      <c r="M367" s="1112"/>
    </row>
    <row r="368" spans="1:13">
      <c r="A368" s="1112"/>
      <c r="B368" s="1112"/>
      <c r="C368" s="1112"/>
      <c r="D368" s="1112"/>
      <c r="E368" s="1112"/>
      <c r="F368" s="1112"/>
      <c r="G368" s="1112"/>
      <c r="H368" s="1112"/>
      <c r="I368" s="1112"/>
      <c r="J368" s="1112"/>
      <c r="K368" s="1112"/>
      <c r="L368" s="1112"/>
      <c r="M368" s="1112"/>
    </row>
    <row r="369" spans="1:13">
      <c r="A369" s="1112"/>
      <c r="B369" s="1112"/>
      <c r="C369" s="1112"/>
      <c r="D369" s="1112"/>
      <c r="E369" s="1112"/>
      <c r="F369" s="1112"/>
      <c r="G369" s="1112"/>
      <c r="H369" s="1112"/>
      <c r="I369" s="1112"/>
      <c r="J369" s="1112"/>
      <c r="K369" s="1112"/>
      <c r="L369" s="1112"/>
      <c r="M369" s="1112"/>
    </row>
    <row r="370" spans="1:13">
      <c r="A370" s="1112"/>
      <c r="B370" s="1112"/>
      <c r="C370" s="1112"/>
      <c r="D370" s="1112"/>
      <c r="E370" s="1112"/>
      <c r="F370" s="1112"/>
      <c r="G370" s="1112"/>
      <c r="H370" s="1112"/>
      <c r="I370" s="1112"/>
      <c r="J370" s="1112"/>
      <c r="K370" s="1112"/>
      <c r="L370" s="1112"/>
      <c r="M370" s="1112"/>
    </row>
    <row r="371" spans="1:13">
      <c r="A371" s="1112"/>
      <c r="B371" s="1112"/>
      <c r="C371" s="1112"/>
      <c r="D371" s="1112"/>
      <c r="E371" s="1112"/>
      <c r="F371" s="1112"/>
      <c r="G371" s="1112"/>
      <c r="H371" s="1112"/>
      <c r="I371" s="1112"/>
      <c r="J371" s="1112"/>
      <c r="K371" s="1112"/>
      <c r="L371" s="1112"/>
      <c r="M371" s="1112"/>
    </row>
    <row r="372" spans="1:13">
      <c r="A372" s="1112"/>
      <c r="B372" s="1112"/>
      <c r="C372" s="1112"/>
      <c r="D372" s="1112"/>
      <c r="E372" s="1112"/>
      <c r="F372" s="1112"/>
      <c r="G372" s="1112"/>
      <c r="H372" s="1112"/>
      <c r="I372" s="1112"/>
      <c r="J372" s="1112"/>
      <c r="K372" s="1112"/>
      <c r="L372" s="1112"/>
      <c r="M372" s="1112"/>
    </row>
    <row r="373" spans="1:13">
      <c r="A373" s="1112"/>
      <c r="B373" s="1112"/>
      <c r="C373" s="1112"/>
      <c r="D373" s="1112"/>
      <c r="E373" s="1112"/>
      <c r="F373" s="1112"/>
      <c r="G373" s="1112"/>
      <c r="H373" s="1112"/>
      <c r="I373" s="1112"/>
      <c r="J373" s="1112"/>
      <c r="K373" s="1112"/>
      <c r="L373" s="1112"/>
      <c r="M373" s="1112"/>
    </row>
    <row r="374" spans="1:13">
      <c r="A374" s="1112"/>
      <c r="B374" s="1112"/>
      <c r="C374" s="1112"/>
      <c r="D374" s="1112"/>
      <c r="E374" s="1112"/>
      <c r="F374" s="1112"/>
      <c r="G374" s="1112"/>
      <c r="H374" s="1112"/>
      <c r="I374" s="1112"/>
      <c r="J374" s="1112"/>
      <c r="K374" s="1112"/>
      <c r="L374" s="1112"/>
      <c r="M374" s="1112"/>
    </row>
    <row r="375" spans="1:13">
      <c r="A375" s="1112"/>
      <c r="B375" s="1112"/>
      <c r="C375" s="1112"/>
      <c r="D375" s="1112"/>
      <c r="E375" s="1112"/>
      <c r="F375" s="1112"/>
      <c r="G375" s="1112"/>
      <c r="H375" s="1112"/>
      <c r="I375" s="1112"/>
      <c r="J375" s="1112"/>
      <c r="K375" s="1112"/>
      <c r="L375" s="1112"/>
      <c r="M375" s="1112"/>
    </row>
    <row r="376" spans="1:13">
      <c r="A376" s="1112"/>
      <c r="B376" s="1112"/>
      <c r="C376" s="1112"/>
      <c r="D376" s="1112"/>
      <c r="E376" s="1112"/>
      <c r="F376" s="1112"/>
      <c r="G376" s="1112"/>
      <c r="H376" s="1112"/>
      <c r="I376" s="1112"/>
      <c r="J376" s="1112"/>
      <c r="K376" s="1112"/>
      <c r="L376" s="1112"/>
      <c r="M376" s="1112"/>
    </row>
    <row r="377" spans="1:13">
      <c r="A377" s="1112"/>
      <c r="B377" s="1112"/>
      <c r="C377" s="1112"/>
      <c r="D377" s="1112"/>
      <c r="E377" s="1112"/>
      <c r="F377" s="1112"/>
      <c r="G377" s="1112"/>
      <c r="H377" s="1112"/>
      <c r="I377" s="1112"/>
      <c r="J377" s="1112"/>
      <c r="K377" s="1112"/>
      <c r="L377" s="1112"/>
      <c r="M377" s="1112"/>
    </row>
    <row r="378" spans="1:13">
      <c r="A378" s="1112"/>
      <c r="B378" s="1112"/>
      <c r="C378" s="1112"/>
      <c r="D378" s="1112"/>
      <c r="E378" s="1112"/>
      <c r="F378" s="1112"/>
      <c r="G378" s="1112"/>
      <c r="H378" s="1112"/>
      <c r="I378" s="1112"/>
      <c r="J378" s="1112"/>
      <c r="K378" s="1112"/>
      <c r="L378" s="1112"/>
      <c r="M378" s="1112"/>
    </row>
    <row r="379" spans="1:13">
      <c r="A379" s="1112"/>
      <c r="B379" s="1112"/>
      <c r="C379" s="1112"/>
      <c r="D379" s="1112"/>
      <c r="E379" s="1112"/>
      <c r="F379" s="1112"/>
      <c r="G379" s="1112"/>
      <c r="H379" s="1112"/>
      <c r="I379" s="1112"/>
      <c r="J379" s="1112"/>
      <c r="K379" s="1112"/>
      <c r="L379" s="1112"/>
      <c r="M379" s="1112"/>
    </row>
    <row r="380" spans="1:13">
      <c r="A380" s="1112"/>
      <c r="B380" s="1112"/>
      <c r="C380" s="1112"/>
      <c r="D380" s="1112"/>
      <c r="E380" s="1112"/>
      <c r="F380" s="1112"/>
      <c r="G380" s="1112"/>
      <c r="H380" s="1112"/>
      <c r="I380" s="1112"/>
      <c r="J380" s="1112"/>
      <c r="K380" s="1112"/>
      <c r="L380" s="1112"/>
      <c r="M380" s="1112"/>
    </row>
    <row r="381" spans="1:13">
      <c r="A381" s="1112"/>
      <c r="B381" s="1112"/>
      <c r="C381" s="1112"/>
      <c r="D381" s="1112"/>
      <c r="E381" s="1112"/>
      <c r="F381" s="1112"/>
      <c r="G381" s="1112"/>
      <c r="H381" s="1112"/>
      <c r="I381" s="1112"/>
      <c r="J381" s="1112"/>
      <c r="K381" s="1112"/>
      <c r="L381" s="1112"/>
      <c r="M381" s="1112"/>
    </row>
    <row r="382" spans="1:13">
      <c r="A382" s="1112"/>
      <c r="B382" s="1112"/>
      <c r="C382" s="1112"/>
      <c r="D382" s="1112"/>
      <c r="E382" s="1112"/>
      <c r="F382" s="1112"/>
      <c r="G382" s="1112"/>
      <c r="H382" s="1112"/>
      <c r="I382" s="1112"/>
      <c r="J382" s="1112"/>
      <c r="K382" s="1112"/>
      <c r="L382" s="1112"/>
      <c r="M382" s="1112"/>
    </row>
    <row r="383" spans="1:13">
      <c r="A383" s="1112"/>
      <c r="B383" s="1112"/>
      <c r="C383" s="1112"/>
      <c r="D383" s="1112"/>
      <c r="E383" s="1112"/>
      <c r="F383" s="1112"/>
      <c r="G383" s="1112"/>
      <c r="H383" s="1112"/>
      <c r="I383" s="1112"/>
      <c r="J383" s="1112"/>
      <c r="K383" s="1112"/>
      <c r="L383" s="1112"/>
      <c r="M383" s="1112"/>
    </row>
    <row r="384" spans="1:13">
      <c r="A384" s="1112"/>
      <c r="B384" s="1112"/>
      <c r="C384" s="1112"/>
      <c r="D384" s="1112"/>
      <c r="E384" s="1112"/>
      <c r="F384" s="1112"/>
      <c r="G384" s="1112"/>
      <c r="H384" s="1112"/>
      <c r="I384" s="1112"/>
      <c r="J384" s="1112"/>
      <c r="K384" s="1112"/>
      <c r="L384" s="1112"/>
      <c r="M384" s="1112"/>
    </row>
    <row r="385" spans="1:13">
      <c r="A385" s="1112"/>
      <c r="B385" s="1112"/>
      <c r="C385" s="1112"/>
      <c r="D385" s="1112"/>
      <c r="E385" s="1112"/>
      <c r="F385" s="1112"/>
      <c r="G385" s="1112"/>
      <c r="H385" s="1112"/>
      <c r="I385" s="1112"/>
      <c r="J385" s="1112"/>
      <c r="K385" s="1112"/>
      <c r="L385" s="1112"/>
      <c r="M385" s="1112"/>
    </row>
    <row r="386" spans="1:13">
      <c r="A386" s="1112"/>
      <c r="B386" s="1112"/>
      <c r="C386" s="1112"/>
      <c r="D386" s="1112"/>
      <c r="E386" s="1112"/>
      <c r="F386" s="1112"/>
      <c r="G386" s="1112"/>
      <c r="H386" s="1112"/>
      <c r="I386" s="1112"/>
      <c r="J386" s="1112"/>
      <c r="K386" s="1112"/>
      <c r="L386" s="1112"/>
      <c r="M386" s="1112"/>
    </row>
    <row r="387" spans="1:13">
      <c r="A387" s="1112"/>
      <c r="B387" s="1112"/>
      <c r="C387" s="1112"/>
      <c r="D387" s="1112"/>
      <c r="E387" s="1112"/>
      <c r="F387" s="1112"/>
      <c r="G387" s="1112"/>
      <c r="H387" s="1112"/>
      <c r="I387" s="1112"/>
      <c r="J387" s="1112"/>
      <c r="K387" s="1112"/>
      <c r="L387" s="1112"/>
      <c r="M387" s="1112"/>
    </row>
    <row r="388" spans="1:13">
      <c r="A388" s="1112"/>
      <c r="B388" s="1112"/>
      <c r="C388" s="1112"/>
      <c r="D388" s="1112"/>
      <c r="E388" s="1112"/>
      <c r="F388" s="1112"/>
      <c r="G388" s="1112"/>
      <c r="H388" s="1112"/>
      <c r="I388" s="1112"/>
      <c r="J388" s="1112"/>
      <c r="K388" s="1112"/>
      <c r="L388" s="1112"/>
      <c r="M388" s="1112"/>
    </row>
  </sheetData>
  <mergeCells count="3">
    <mergeCell ref="C13:I23"/>
    <mergeCell ref="C3:I3"/>
    <mergeCell ref="C5:I5"/>
  </mergeCells>
  <dataValidations count="1">
    <dataValidation type="list" allowBlank="1" showInputMessage="1" showErrorMessage="1" sqref="G9">
      <formula1>"Yes, No"</formula1>
    </dataValidation>
  </dataValidations>
  <pageMargins left="0.7" right="0.7" top="0.75" bottom="0.75" header="0.3" footer="0.3"/>
  <pageSetup scale="83" orientation="portrait" blackAndWhite="1" r:id="rId1"/>
  <legacyDrawing r:id="rId2"/>
</worksheet>
</file>

<file path=xl/worksheets/sheet3.xml><?xml version="1.0" encoding="utf-8"?>
<worksheet xmlns="http://schemas.openxmlformats.org/spreadsheetml/2006/main" xmlns:r="http://schemas.openxmlformats.org/officeDocument/2006/relationships">
  <sheetPr codeName="Sheet31">
    <pageSetUpPr fitToPage="1"/>
  </sheetPr>
  <dimension ref="A1:O282"/>
  <sheetViews>
    <sheetView showGridLines="0" tabSelected="1" topLeftCell="A28" zoomScale="82" workbookViewId="0">
      <selection activeCell="C34" sqref="C34"/>
    </sheetView>
  </sheetViews>
  <sheetFormatPr defaultRowHeight="15.75"/>
  <cols>
    <col min="1" max="1" width="2.7109375" style="13" customWidth="1"/>
    <col min="2" max="2" width="9.85546875" style="13" customWidth="1"/>
    <col min="3" max="3" width="10.42578125" style="13" customWidth="1"/>
    <col min="4" max="4" width="11.42578125" style="13" customWidth="1"/>
    <col min="5" max="5" width="104.85546875" style="13" customWidth="1"/>
    <col min="6" max="6" width="1.85546875" style="13" customWidth="1"/>
    <col min="7" max="7" width="5.7109375" style="13" customWidth="1"/>
    <col min="8" max="9" width="9.140625" style="13"/>
    <col min="10" max="15" width="9.140625" style="13" hidden="1" customWidth="1"/>
    <col min="16" max="16384" width="9.140625" style="13"/>
  </cols>
  <sheetData>
    <row r="1" spans="1:9" ht="17.25" customHeight="1">
      <c r="A1" s="179"/>
      <c r="B1" s="179"/>
      <c r="C1" s="179"/>
      <c r="D1" s="179"/>
      <c r="E1" s="179"/>
      <c r="F1" s="179"/>
      <c r="G1" s="12"/>
      <c r="H1" s="180"/>
    </row>
    <row r="2" spans="1:9" ht="22.5" customHeight="1">
      <c r="A2" s="179"/>
      <c r="B2" s="1596"/>
      <c r="C2" s="1596"/>
      <c r="D2" s="1854" t="s">
        <v>12</v>
      </c>
      <c r="E2" s="1854"/>
      <c r="F2" s="179"/>
      <c r="G2" s="12"/>
      <c r="H2" s="180"/>
    </row>
    <row r="3" spans="1:9" ht="23.25" customHeight="1">
      <c r="A3" s="179"/>
      <c r="B3" s="1596"/>
      <c r="C3" s="1596"/>
      <c r="D3" s="1854" t="s">
        <v>13</v>
      </c>
      <c r="E3" s="1854"/>
      <c r="F3" s="179"/>
      <c r="G3" s="12"/>
      <c r="H3" s="180"/>
    </row>
    <row r="4" spans="1:9" ht="22.5" customHeight="1">
      <c r="A4" s="179"/>
      <c r="B4" s="1597"/>
      <c r="C4" s="1597"/>
      <c r="D4" s="1855" t="str">
        <f>"Class " &amp; Class</f>
        <v>Class AB</v>
      </c>
      <c r="E4" s="1855"/>
      <c r="F4" s="179"/>
      <c r="G4" s="12"/>
      <c r="H4" s="180"/>
    </row>
    <row r="5" spans="1:9" ht="26.25" customHeight="1">
      <c r="A5" s="179"/>
      <c r="B5" s="14"/>
      <c r="C5" s="14"/>
      <c r="D5" s="14" t="s">
        <v>14</v>
      </c>
      <c r="E5" s="15" t="str">
        <f>Data!H1</f>
        <v>MADISON WATER UTILITY</v>
      </c>
      <c r="F5" s="179"/>
      <c r="G5" s="12"/>
      <c r="H5" s="180"/>
      <c r="I5" s="16"/>
    </row>
    <row r="6" spans="1:9" ht="21" customHeight="1">
      <c r="A6" s="179"/>
      <c r="B6" s="14"/>
      <c r="C6" s="14"/>
      <c r="D6" s="14" t="s">
        <v>15</v>
      </c>
      <c r="E6" s="17">
        <f>TestYear</f>
        <v>2015</v>
      </c>
      <c r="F6" s="179"/>
      <c r="G6" s="12"/>
      <c r="H6" s="180"/>
    </row>
    <row r="7" spans="1:9" ht="23.25" customHeight="1" thickBot="1">
      <c r="A7" s="179"/>
      <c r="B7" s="1859" t="s">
        <v>1013</v>
      </c>
      <c r="C7" s="1859" t="s">
        <v>1015</v>
      </c>
      <c r="D7" s="1860" t="s">
        <v>1014</v>
      </c>
      <c r="E7" s="181"/>
      <c r="F7" s="179"/>
      <c r="G7" s="12"/>
      <c r="H7" s="180"/>
    </row>
    <row r="8" spans="1:9" ht="17.25" customHeight="1" thickTop="1" thickBot="1">
      <c r="A8" s="179"/>
      <c r="B8" s="1859"/>
      <c r="C8" s="1859"/>
      <c r="D8" s="1860"/>
      <c r="E8" s="18" t="s">
        <v>16</v>
      </c>
      <c r="F8" s="179"/>
      <c r="G8" s="12"/>
      <c r="H8" s="180"/>
    </row>
    <row r="9" spans="1:9" ht="22.15" customHeight="1">
      <c r="A9" s="1599"/>
      <c r="B9" s="1598"/>
      <c r="C9" s="1598"/>
      <c r="D9" s="1850"/>
      <c r="E9" s="19" t="s">
        <v>17</v>
      </c>
      <c r="F9" s="179"/>
      <c r="G9" s="12"/>
      <c r="H9" s="180"/>
    </row>
    <row r="10" spans="1:9" ht="22.15" customHeight="1">
      <c r="A10" s="1599"/>
      <c r="B10" s="1598"/>
      <c r="C10" s="1851"/>
      <c r="D10" s="1598"/>
      <c r="E10" s="20" t="s">
        <v>18</v>
      </c>
      <c r="F10" s="179"/>
      <c r="G10" s="12"/>
      <c r="H10" s="180"/>
    </row>
    <row r="11" spans="1:9" ht="22.15" customHeight="1">
      <c r="A11" s="1599"/>
      <c r="B11" s="1598"/>
      <c r="C11" s="1598"/>
      <c r="D11" s="1850"/>
      <c r="E11" s="20" t="s">
        <v>19</v>
      </c>
      <c r="F11" s="179"/>
      <c r="G11" s="12"/>
      <c r="H11" s="180"/>
    </row>
    <row r="12" spans="1:9" ht="22.15" customHeight="1">
      <c r="A12" s="1599"/>
      <c r="B12" s="1598"/>
      <c r="C12" s="1598"/>
      <c r="D12" s="1850"/>
      <c r="E12" s="20" t="s">
        <v>1112</v>
      </c>
      <c r="F12" s="179"/>
      <c r="G12" s="12"/>
      <c r="H12" s="180"/>
      <c r="I12" s="16"/>
    </row>
    <row r="13" spans="1:9" ht="22.15" customHeight="1">
      <c r="A13" s="1599"/>
      <c r="B13" s="1598"/>
      <c r="C13" s="1598"/>
      <c r="D13" s="1850"/>
      <c r="E13" s="20" t="s">
        <v>1111</v>
      </c>
      <c r="F13" s="179"/>
      <c r="G13" s="12"/>
      <c r="H13" s="180"/>
      <c r="I13" s="16"/>
    </row>
    <row r="14" spans="1:9" ht="22.15" customHeight="1">
      <c r="A14" s="1599"/>
      <c r="B14" s="1598"/>
      <c r="C14" s="1852"/>
      <c r="D14" s="1598"/>
      <c r="E14" s="20" t="s">
        <v>1009</v>
      </c>
      <c r="F14" s="179"/>
      <c r="G14" s="12"/>
      <c r="H14" s="180"/>
      <c r="I14" s="16"/>
    </row>
    <row r="15" spans="1:9" ht="22.15" customHeight="1">
      <c r="A15" s="1599"/>
      <c r="B15" s="1598"/>
      <c r="C15" s="1852"/>
      <c r="D15" s="1598"/>
      <c r="E15" s="20" t="s">
        <v>1010</v>
      </c>
      <c r="F15" s="179"/>
      <c r="G15" s="12"/>
      <c r="H15" s="180"/>
      <c r="I15" s="16"/>
    </row>
    <row r="16" spans="1:9" ht="22.15" hidden="1" customHeight="1">
      <c r="A16" s="1599"/>
      <c r="B16" s="1598"/>
      <c r="C16" s="1851"/>
      <c r="D16" s="1598"/>
      <c r="E16" s="20" t="s">
        <v>1034</v>
      </c>
      <c r="F16" s="179"/>
      <c r="G16" s="12"/>
      <c r="H16" s="180"/>
      <c r="I16" s="16"/>
    </row>
    <row r="17" spans="1:13" ht="22.15" customHeight="1">
      <c r="A17" s="1599"/>
      <c r="B17" s="1598"/>
      <c r="C17" s="1598"/>
      <c r="D17" s="1850"/>
      <c r="E17" s="20" t="s">
        <v>20</v>
      </c>
      <c r="F17" s="179"/>
      <c r="G17" s="12"/>
      <c r="H17" s="180"/>
    </row>
    <row r="18" spans="1:13" ht="22.15" customHeight="1">
      <c r="A18" s="1599"/>
      <c r="B18" s="1598"/>
      <c r="C18" s="1598"/>
      <c r="D18" s="1850"/>
      <c r="E18" s="20" t="s">
        <v>21</v>
      </c>
      <c r="F18" s="179"/>
      <c r="G18" s="12"/>
      <c r="H18" s="180"/>
    </row>
    <row r="19" spans="1:13" ht="22.15" customHeight="1">
      <c r="A19" s="1599"/>
      <c r="B19" s="1598"/>
      <c r="C19" s="1598"/>
      <c r="D19" s="1850"/>
      <c r="E19" s="20" t="s">
        <v>22</v>
      </c>
      <c r="F19" s="179"/>
      <c r="G19" s="12"/>
      <c r="H19" s="180"/>
    </row>
    <row r="20" spans="1:13" ht="22.15" customHeight="1">
      <c r="A20" s="1599"/>
      <c r="B20" s="1598"/>
      <c r="C20" s="1598"/>
      <c r="D20" s="1850"/>
      <c r="E20" s="20" t="s">
        <v>23</v>
      </c>
      <c r="F20" s="179"/>
      <c r="G20" s="12"/>
      <c r="H20" s="21"/>
    </row>
    <row r="21" spans="1:13" ht="22.15" customHeight="1">
      <c r="A21" s="1599"/>
      <c r="B21" s="1598"/>
      <c r="C21" s="1598"/>
      <c r="D21" s="1850"/>
      <c r="E21" s="20" t="s">
        <v>24</v>
      </c>
      <c r="F21" s="179"/>
      <c r="G21" s="12"/>
      <c r="H21" s="1774"/>
    </row>
    <row r="22" spans="1:13" ht="22.15" customHeight="1">
      <c r="A22" s="1599"/>
      <c r="B22" s="1600"/>
      <c r="C22" s="1600"/>
      <c r="D22" s="1853"/>
      <c r="E22" s="20" t="s">
        <v>25</v>
      </c>
      <c r="F22" s="179"/>
      <c r="G22" s="12"/>
      <c r="H22" s="1774"/>
    </row>
    <row r="23" spans="1:13" ht="22.15" customHeight="1">
      <c r="A23" s="1599"/>
      <c r="B23" s="1598"/>
      <c r="C23" s="1598"/>
      <c r="D23" s="1850"/>
      <c r="E23" s="20" t="str">
        <f>HYPERLINK("#"&amp;H23,"Attachment 10 - Operating Expenses")</f>
        <v>Attachment 10 - Operating Expenses</v>
      </c>
      <c r="F23" s="179"/>
      <c r="G23" s="12"/>
      <c r="H23" s="1802" t="str">
        <f>IF(Class="AB","Attach10_AB!A1",IF(Class="C","Attach10_C!A1","Attach10_D!A1"))</f>
        <v>Attach10_AB!A1</v>
      </c>
    </row>
    <row r="24" spans="1:13" ht="22.15" customHeight="1">
      <c r="A24" s="1599"/>
      <c r="B24" s="1598"/>
      <c r="C24" s="1851"/>
      <c r="D24" s="1598"/>
      <c r="E24" s="20" t="s">
        <v>26</v>
      </c>
      <c r="F24" s="179"/>
      <c r="G24" s="12"/>
      <c r="H24" s="1802"/>
    </row>
    <row r="25" spans="1:13" ht="21.75" customHeight="1">
      <c r="A25" s="1599"/>
      <c r="B25" s="1598"/>
      <c r="C25" s="1598"/>
      <c r="D25" s="1850"/>
      <c r="E25" s="20" t="s">
        <v>27</v>
      </c>
      <c r="F25" s="179"/>
      <c r="G25" s="12"/>
      <c r="H25" s="1774"/>
    </row>
    <row r="26" spans="1:13" ht="21.75" customHeight="1">
      <c r="A26" s="1599"/>
      <c r="B26" s="1598"/>
      <c r="C26" s="1598"/>
      <c r="D26" s="1850"/>
      <c r="E26" s="20" t="s">
        <v>28</v>
      </c>
      <c r="F26" s="179"/>
      <c r="G26" s="12"/>
      <c r="H26" s="180"/>
    </row>
    <row r="27" spans="1:13" ht="22.15" customHeight="1">
      <c r="A27" s="1599"/>
      <c r="B27" s="1598"/>
      <c r="C27" s="1598"/>
      <c r="D27" s="1850"/>
      <c r="E27" s="22" t="s">
        <v>29</v>
      </c>
      <c r="F27" s="179"/>
      <c r="G27" s="12"/>
      <c r="H27" s="180"/>
    </row>
    <row r="28" spans="1:13" ht="22.15" customHeight="1">
      <c r="A28" s="1599"/>
      <c r="B28" s="1598"/>
      <c r="C28" s="1598"/>
      <c r="D28" s="1850"/>
      <c r="E28" s="20" t="s">
        <v>30</v>
      </c>
      <c r="F28" s="179"/>
      <c r="G28" s="12"/>
      <c r="H28" s="180"/>
    </row>
    <row r="29" spans="1:13" ht="22.15" customHeight="1">
      <c r="A29" s="1599"/>
      <c r="B29" s="1598"/>
      <c r="C29" s="1598"/>
      <c r="D29" s="1850"/>
      <c r="E29" s="20" t="s">
        <v>31</v>
      </c>
      <c r="F29" s="179"/>
      <c r="G29" s="12"/>
      <c r="H29" s="180"/>
      <c r="L29" s="1801"/>
      <c r="M29" s="1801"/>
    </row>
    <row r="30" spans="1:13" ht="22.15" customHeight="1">
      <c r="A30" s="1599"/>
      <c r="B30" s="1598"/>
      <c r="C30" s="1598"/>
      <c r="D30" s="1850"/>
      <c r="E30" s="20" t="s">
        <v>1030</v>
      </c>
      <c r="F30" s="179"/>
      <c r="G30" s="12"/>
      <c r="H30" s="180"/>
      <c r="L30" s="1801"/>
      <c r="M30" s="1801"/>
    </row>
    <row r="31" spans="1:13" ht="22.15" customHeight="1">
      <c r="A31" s="1599"/>
      <c r="B31" s="1598"/>
      <c r="C31" s="1851"/>
      <c r="D31" s="1602"/>
      <c r="E31" s="20" t="s">
        <v>32</v>
      </c>
      <c r="F31" s="179"/>
      <c r="G31" s="12"/>
      <c r="H31" s="180"/>
      <c r="L31" s="1801"/>
      <c r="M31" s="1801"/>
    </row>
    <row r="32" spans="1:13" ht="22.15" customHeight="1">
      <c r="A32" s="1599"/>
      <c r="B32" s="1598"/>
      <c r="C32" s="1598"/>
      <c r="D32" s="1850"/>
      <c r="E32" s="20" t="s">
        <v>1033</v>
      </c>
      <c r="F32" s="179"/>
      <c r="G32" s="12"/>
      <c r="H32" s="180"/>
      <c r="L32" s="1801"/>
      <c r="M32" s="1801"/>
    </row>
    <row r="33" spans="1:13" ht="22.15" customHeight="1">
      <c r="A33" s="1599"/>
      <c r="B33" s="1598"/>
      <c r="C33" s="1598"/>
      <c r="D33" s="1850"/>
      <c r="E33" s="20" t="s">
        <v>33</v>
      </c>
      <c r="F33" s="179"/>
      <c r="G33" s="12"/>
      <c r="H33" s="180"/>
      <c r="L33" s="1801"/>
      <c r="M33" s="1801"/>
    </row>
    <row r="34" spans="1:13" ht="22.15" hidden="1" customHeight="1">
      <c r="A34" s="1599"/>
      <c r="B34" s="1598"/>
      <c r="C34" s="1598"/>
      <c r="D34" s="1850"/>
      <c r="E34" s="20" t="s">
        <v>34</v>
      </c>
      <c r="F34" s="179"/>
      <c r="G34" s="12"/>
      <c r="H34" s="180"/>
    </row>
    <row r="35" spans="1:13" ht="22.15" hidden="1" customHeight="1">
      <c r="A35" s="1599"/>
      <c r="B35" s="1598"/>
      <c r="C35" s="1598"/>
      <c r="D35" s="1850"/>
      <c r="E35" s="20" t="s">
        <v>35</v>
      </c>
      <c r="F35" s="179"/>
      <c r="G35" s="12"/>
      <c r="H35" s="21"/>
    </row>
    <row r="36" spans="1:13" ht="24" hidden="1" customHeight="1" thickBot="1">
      <c r="A36" s="1599"/>
      <c r="B36" s="1598"/>
      <c r="C36" s="1598"/>
      <c r="D36" s="1850"/>
      <c r="E36" s="1773" t="s">
        <v>36</v>
      </c>
      <c r="F36" s="179"/>
      <c r="G36" s="12"/>
      <c r="H36" s="180"/>
    </row>
    <row r="37" spans="1:13" ht="24" customHeight="1">
      <c r="A37" s="1599"/>
      <c r="B37" s="1820"/>
      <c r="C37" s="1762"/>
      <c r="D37" s="1762"/>
      <c r="F37" s="179"/>
      <c r="G37" s="12"/>
      <c r="H37" s="180"/>
    </row>
    <row r="38" spans="1:13">
      <c r="A38" s="179"/>
      <c r="B38" s="1820"/>
      <c r="C38" s="179"/>
      <c r="D38" s="179"/>
      <c r="E38" s="179"/>
      <c r="F38" s="179"/>
      <c r="G38" s="12"/>
      <c r="H38" s="180"/>
    </row>
    <row r="39" spans="1:13">
      <c r="A39" s="180"/>
      <c r="B39" s="180"/>
      <c r="C39" s="180"/>
      <c r="D39" s="180"/>
      <c r="E39" s="180"/>
      <c r="F39" s="180"/>
      <c r="G39" s="180"/>
      <c r="H39" s="180"/>
    </row>
    <row r="40" spans="1:13">
      <c r="A40" s="180"/>
      <c r="B40" s="180"/>
      <c r="C40" s="180"/>
      <c r="D40" s="180"/>
      <c r="E40" s="180"/>
      <c r="F40" s="180"/>
      <c r="G40" s="180"/>
      <c r="H40" s="180"/>
    </row>
    <row r="41" spans="1:13">
      <c r="A41" s="180"/>
      <c r="B41" s="180"/>
      <c r="C41" s="180"/>
      <c r="D41" s="180"/>
      <c r="E41" s="180"/>
      <c r="F41" s="180"/>
      <c r="G41" s="180"/>
      <c r="H41" s="180"/>
    </row>
    <row r="42" spans="1:13">
      <c r="A42" s="180"/>
      <c r="B42" s="180"/>
      <c r="C42" s="180"/>
      <c r="D42" s="180"/>
      <c r="E42" s="180"/>
      <c r="F42" s="180"/>
      <c r="G42" s="180"/>
      <c r="H42" s="180"/>
    </row>
    <row r="43" spans="1:13">
      <c r="A43" s="180"/>
      <c r="B43" s="180"/>
      <c r="C43" s="180"/>
      <c r="D43" s="180"/>
      <c r="E43" s="180"/>
      <c r="F43" s="180"/>
      <c r="G43" s="180"/>
      <c r="H43" s="180"/>
    </row>
    <row r="44" spans="1:13">
      <c r="A44" s="180"/>
      <c r="B44" s="180"/>
      <c r="C44" s="180"/>
      <c r="D44" s="180"/>
      <c r="E44" s="180"/>
      <c r="F44" s="180"/>
      <c r="G44" s="180"/>
      <c r="H44" s="180"/>
    </row>
    <row r="45" spans="1:13">
      <c r="A45" s="180"/>
      <c r="B45" s="180"/>
      <c r="C45" s="180"/>
      <c r="D45" s="180"/>
      <c r="E45" s="180"/>
      <c r="F45" s="180"/>
      <c r="G45" s="180"/>
      <c r="H45" s="180"/>
    </row>
    <row r="46" spans="1:13">
      <c r="A46" s="180"/>
      <c r="B46" s="180"/>
      <c r="C46" s="180"/>
      <c r="D46" s="180"/>
      <c r="E46" s="180"/>
      <c r="F46" s="180"/>
      <c r="G46" s="180"/>
      <c r="H46" s="180"/>
    </row>
    <row r="47" spans="1:13">
      <c r="A47" s="180"/>
      <c r="B47" s="180"/>
      <c r="C47" s="180"/>
      <c r="D47" s="180"/>
      <c r="E47" s="180"/>
      <c r="F47" s="180"/>
      <c r="G47" s="180"/>
      <c r="H47" s="180"/>
    </row>
    <row r="48" spans="1:13">
      <c r="A48" s="180"/>
      <c r="B48" s="180"/>
      <c r="C48" s="180"/>
      <c r="D48" s="180"/>
      <c r="E48" s="180"/>
      <c r="F48" s="180"/>
      <c r="G48" s="180"/>
      <c r="H48" s="180"/>
    </row>
    <row r="49" spans="1:8">
      <c r="A49" s="180"/>
      <c r="B49" s="180"/>
      <c r="C49" s="180"/>
      <c r="D49" s="180"/>
      <c r="E49" s="180"/>
      <c r="F49" s="180"/>
      <c r="G49" s="180"/>
      <c r="H49" s="180"/>
    </row>
    <row r="50" spans="1:8">
      <c r="A50" s="180"/>
      <c r="B50" s="180"/>
      <c r="C50" s="180"/>
      <c r="D50" s="180"/>
      <c r="E50" s="180"/>
      <c r="F50" s="180"/>
      <c r="G50" s="180"/>
      <c r="H50" s="180"/>
    </row>
    <row r="51" spans="1:8">
      <c r="A51" s="180"/>
      <c r="B51" s="180"/>
      <c r="C51" s="180"/>
      <c r="D51" s="180"/>
      <c r="E51" s="180"/>
      <c r="F51" s="180"/>
      <c r="G51" s="180"/>
      <c r="H51" s="180"/>
    </row>
    <row r="52" spans="1:8">
      <c r="A52" s="180"/>
      <c r="B52" s="180"/>
      <c r="C52" s="180"/>
      <c r="D52" s="180"/>
      <c r="E52" s="180"/>
      <c r="F52" s="180"/>
      <c r="G52" s="180"/>
      <c r="H52" s="180"/>
    </row>
    <row r="53" spans="1:8">
      <c r="A53" s="180"/>
      <c r="B53" s="180"/>
      <c r="C53" s="180"/>
      <c r="D53" s="180"/>
      <c r="E53" s="180"/>
      <c r="F53" s="180"/>
      <c r="G53" s="180"/>
      <c r="H53" s="180"/>
    </row>
    <row r="54" spans="1:8">
      <c r="A54" s="180"/>
      <c r="B54" s="180"/>
      <c r="C54" s="180"/>
      <c r="D54" s="180"/>
      <c r="E54" s="180"/>
      <c r="F54" s="180"/>
      <c r="G54" s="180"/>
      <c r="H54" s="180"/>
    </row>
    <row r="55" spans="1:8">
      <c r="A55" s="180"/>
      <c r="B55" s="180"/>
      <c r="C55" s="180"/>
      <c r="D55" s="180"/>
      <c r="E55" s="180"/>
      <c r="F55" s="180"/>
      <c r="G55" s="180"/>
      <c r="H55" s="180"/>
    </row>
    <row r="56" spans="1:8">
      <c r="A56" s="180"/>
      <c r="B56" s="180"/>
      <c r="C56" s="180"/>
      <c r="D56" s="180"/>
      <c r="E56" s="180"/>
      <c r="F56" s="180"/>
      <c r="G56" s="180"/>
      <c r="H56" s="180"/>
    </row>
    <row r="57" spans="1:8">
      <c r="A57" s="180"/>
      <c r="B57" s="180"/>
      <c r="C57" s="180"/>
      <c r="D57" s="180"/>
      <c r="E57" s="180"/>
      <c r="F57" s="180"/>
      <c r="G57" s="180"/>
      <c r="H57" s="180"/>
    </row>
    <row r="58" spans="1:8">
      <c r="A58" s="180"/>
      <c r="B58" s="180"/>
      <c r="C58" s="180"/>
      <c r="D58" s="180"/>
      <c r="E58" s="180"/>
      <c r="F58" s="180"/>
      <c r="G58" s="180"/>
      <c r="H58" s="180"/>
    </row>
    <row r="59" spans="1:8">
      <c r="A59" s="180"/>
      <c r="B59" s="180"/>
      <c r="C59" s="180"/>
      <c r="D59" s="180"/>
      <c r="E59" s="180"/>
      <c r="F59" s="180"/>
      <c r="G59" s="180"/>
      <c r="H59" s="180"/>
    </row>
    <row r="60" spans="1:8">
      <c r="A60" s="180"/>
      <c r="B60" s="180"/>
      <c r="C60" s="180"/>
      <c r="D60" s="180"/>
      <c r="E60" s="180"/>
      <c r="F60" s="180"/>
      <c r="G60" s="180"/>
      <c r="H60" s="180"/>
    </row>
    <row r="61" spans="1:8">
      <c r="A61" s="180"/>
      <c r="B61" s="180"/>
      <c r="C61" s="180"/>
      <c r="D61" s="180"/>
      <c r="E61" s="180"/>
      <c r="F61" s="180"/>
      <c r="G61" s="180"/>
      <c r="H61" s="180"/>
    </row>
    <row r="62" spans="1:8">
      <c r="A62" s="180"/>
      <c r="B62" s="180"/>
      <c r="C62" s="180"/>
      <c r="D62" s="180"/>
      <c r="E62" s="180"/>
      <c r="F62" s="180"/>
      <c r="G62" s="180"/>
      <c r="H62" s="180"/>
    </row>
    <row r="63" spans="1:8">
      <c r="A63" s="180"/>
      <c r="B63" s="180"/>
      <c r="C63" s="180"/>
      <c r="D63" s="180"/>
      <c r="E63" s="180"/>
      <c r="F63" s="180"/>
      <c r="G63" s="180"/>
      <c r="H63" s="180"/>
    </row>
    <row r="64" spans="1:8">
      <c r="A64" s="180"/>
      <c r="B64" s="180"/>
      <c r="C64" s="180"/>
      <c r="D64" s="180"/>
      <c r="E64" s="180"/>
      <c r="F64" s="180"/>
      <c r="G64" s="180"/>
      <c r="H64" s="180"/>
    </row>
    <row r="65" spans="1:8">
      <c r="A65" s="180"/>
      <c r="B65" s="180"/>
      <c r="C65" s="180"/>
      <c r="D65" s="180"/>
      <c r="E65" s="180"/>
      <c r="F65" s="180"/>
      <c r="G65" s="180"/>
      <c r="H65" s="180"/>
    </row>
    <row r="66" spans="1:8">
      <c r="A66" s="180"/>
      <c r="B66" s="180"/>
      <c r="C66" s="180"/>
      <c r="D66" s="180"/>
      <c r="E66" s="180"/>
      <c r="F66" s="180"/>
      <c r="G66" s="180"/>
      <c r="H66" s="180"/>
    </row>
    <row r="67" spans="1:8">
      <c r="A67" s="180"/>
      <c r="B67" s="180"/>
      <c r="C67" s="180"/>
      <c r="D67" s="180"/>
      <c r="E67" s="180"/>
      <c r="F67" s="180"/>
      <c r="G67" s="180"/>
      <c r="H67" s="180"/>
    </row>
    <row r="68" spans="1:8">
      <c r="A68" s="180"/>
      <c r="B68" s="180"/>
      <c r="C68" s="180"/>
      <c r="D68" s="180"/>
      <c r="E68" s="180"/>
      <c r="F68" s="180"/>
      <c r="G68" s="180"/>
      <c r="H68" s="180"/>
    </row>
    <row r="69" spans="1:8">
      <c r="A69" s="180"/>
      <c r="B69" s="180"/>
      <c r="C69" s="180"/>
      <c r="D69" s="180"/>
      <c r="E69" s="180"/>
      <c r="F69" s="180"/>
      <c r="G69" s="180"/>
      <c r="H69" s="180"/>
    </row>
    <row r="70" spans="1:8">
      <c r="A70" s="180"/>
      <c r="B70" s="180"/>
      <c r="C70" s="180"/>
      <c r="D70" s="180"/>
      <c r="E70" s="180"/>
      <c r="F70" s="180"/>
      <c r="G70" s="180"/>
      <c r="H70" s="180"/>
    </row>
    <row r="71" spans="1:8">
      <c r="A71" s="180"/>
      <c r="B71" s="180"/>
      <c r="C71" s="180"/>
      <c r="D71" s="180"/>
      <c r="E71" s="180"/>
      <c r="F71" s="180"/>
      <c r="G71" s="180"/>
      <c r="H71" s="180"/>
    </row>
    <row r="72" spans="1:8">
      <c r="A72" s="180"/>
      <c r="B72" s="180"/>
      <c r="C72" s="180"/>
      <c r="D72" s="180"/>
      <c r="E72" s="180"/>
      <c r="F72" s="180"/>
      <c r="G72" s="180"/>
      <c r="H72" s="180"/>
    </row>
    <row r="73" spans="1:8">
      <c r="A73" s="180"/>
      <c r="B73" s="180"/>
      <c r="C73" s="180"/>
      <c r="D73" s="180"/>
      <c r="E73" s="180"/>
      <c r="F73" s="180"/>
      <c r="G73" s="180"/>
      <c r="H73" s="180"/>
    </row>
    <row r="74" spans="1:8">
      <c r="A74" s="180"/>
      <c r="B74" s="180"/>
      <c r="C74" s="180"/>
      <c r="D74" s="180"/>
      <c r="E74" s="180"/>
      <c r="F74" s="180"/>
      <c r="G74" s="180"/>
      <c r="H74" s="180"/>
    </row>
    <row r="75" spans="1:8">
      <c r="A75" s="180"/>
      <c r="B75" s="180"/>
      <c r="C75" s="180"/>
      <c r="D75" s="180"/>
      <c r="E75" s="180"/>
      <c r="F75" s="180"/>
      <c r="G75" s="180"/>
      <c r="H75" s="180"/>
    </row>
    <row r="76" spans="1:8">
      <c r="A76" s="180"/>
      <c r="B76" s="180"/>
      <c r="C76" s="180"/>
      <c r="D76" s="180"/>
      <c r="E76" s="180"/>
      <c r="F76" s="180"/>
      <c r="G76" s="180"/>
      <c r="H76" s="180"/>
    </row>
    <row r="77" spans="1:8">
      <c r="A77" s="180"/>
      <c r="B77" s="180"/>
      <c r="C77" s="180"/>
      <c r="D77" s="180"/>
      <c r="E77" s="180"/>
      <c r="F77" s="180"/>
      <c r="G77" s="180"/>
      <c r="H77" s="180"/>
    </row>
    <row r="78" spans="1:8">
      <c r="A78" s="180"/>
      <c r="B78" s="180"/>
      <c r="C78" s="180"/>
      <c r="D78" s="180"/>
      <c r="E78" s="180"/>
      <c r="F78" s="180"/>
      <c r="G78" s="180"/>
      <c r="H78" s="180"/>
    </row>
    <row r="79" spans="1:8">
      <c r="A79" s="180"/>
      <c r="B79" s="180"/>
      <c r="C79" s="180"/>
      <c r="D79" s="180"/>
      <c r="E79" s="180"/>
      <c r="F79" s="180"/>
      <c r="G79" s="180"/>
      <c r="H79" s="180"/>
    </row>
    <row r="80" spans="1:8">
      <c r="A80" s="180"/>
      <c r="B80" s="180"/>
      <c r="C80" s="180"/>
      <c r="D80" s="180"/>
      <c r="E80" s="180"/>
      <c r="F80" s="180"/>
      <c r="G80" s="180"/>
      <c r="H80" s="180"/>
    </row>
    <row r="81" spans="1:8">
      <c r="A81" s="180"/>
      <c r="B81" s="180"/>
      <c r="C81" s="180"/>
      <c r="D81" s="180"/>
      <c r="E81" s="180"/>
      <c r="F81" s="180"/>
      <c r="G81" s="180"/>
      <c r="H81" s="180"/>
    </row>
    <row r="82" spans="1:8">
      <c r="A82" s="180"/>
      <c r="B82" s="180"/>
      <c r="C82" s="180"/>
      <c r="D82" s="180"/>
      <c r="E82" s="180"/>
      <c r="F82" s="180"/>
      <c r="G82" s="180"/>
      <c r="H82" s="180"/>
    </row>
    <row r="83" spans="1:8">
      <c r="A83" s="180"/>
      <c r="B83" s="180"/>
      <c r="C83" s="180"/>
      <c r="D83" s="180"/>
      <c r="E83" s="180"/>
      <c r="F83" s="180"/>
      <c r="G83" s="180"/>
      <c r="H83" s="180"/>
    </row>
    <row r="84" spans="1:8">
      <c r="A84" s="180"/>
      <c r="B84" s="180"/>
      <c r="C84" s="180"/>
      <c r="D84" s="180"/>
      <c r="E84" s="180"/>
      <c r="F84" s="180"/>
      <c r="G84" s="180"/>
      <c r="H84" s="180"/>
    </row>
    <row r="85" spans="1:8">
      <c r="A85" s="180"/>
      <c r="B85" s="180"/>
      <c r="C85" s="180"/>
      <c r="D85" s="180"/>
      <c r="E85" s="180"/>
      <c r="F85" s="180"/>
      <c r="G85" s="180"/>
      <c r="H85" s="180"/>
    </row>
    <row r="86" spans="1:8">
      <c r="A86" s="180"/>
      <c r="B86" s="180"/>
      <c r="C86" s="180"/>
      <c r="D86" s="180"/>
      <c r="E86" s="180"/>
      <c r="F86" s="180"/>
      <c r="G86" s="180"/>
      <c r="H86" s="180"/>
    </row>
    <row r="87" spans="1:8">
      <c r="A87" s="180"/>
      <c r="B87" s="180"/>
      <c r="C87" s="180"/>
      <c r="D87" s="180"/>
      <c r="E87" s="180"/>
      <c r="F87" s="180"/>
      <c r="G87" s="180"/>
      <c r="H87" s="180"/>
    </row>
    <row r="88" spans="1:8">
      <c r="A88" s="180"/>
      <c r="B88" s="180"/>
      <c r="C88" s="180"/>
      <c r="D88" s="180"/>
      <c r="E88" s="180"/>
      <c r="F88" s="180"/>
      <c r="G88" s="180"/>
      <c r="H88" s="180"/>
    </row>
    <row r="89" spans="1:8">
      <c r="A89" s="180"/>
      <c r="B89" s="180"/>
      <c r="C89" s="180"/>
      <c r="D89" s="180"/>
      <c r="E89" s="180"/>
      <c r="F89" s="180"/>
      <c r="G89" s="180"/>
      <c r="H89" s="180"/>
    </row>
    <row r="90" spans="1:8">
      <c r="A90" s="180"/>
      <c r="B90" s="180"/>
      <c r="C90" s="180"/>
      <c r="D90" s="180"/>
      <c r="E90" s="180"/>
      <c r="F90" s="180"/>
      <c r="G90" s="180"/>
      <c r="H90" s="180"/>
    </row>
    <row r="91" spans="1:8">
      <c r="A91" s="180"/>
      <c r="B91" s="180"/>
      <c r="C91" s="180"/>
      <c r="D91" s="180"/>
      <c r="E91" s="180"/>
      <c r="F91" s="180"/>
      <c r="G91" s="180"/>
      <c r="H91" s="180"/>
    </row>
    <row r="92" spans="1:8">
      <c r="A92" s="180"/>
      <c r="B92" s="180"/>
      <c r="C92" s="180"/>
      <c r="D92" s="180"/>
      <c r="E92" s="180"/>
      <c r="F92" s="180"/>
      <c r="G92" s="180"/>
      <c r="H92" s="180"/>
    </row>
    <row r="93" spans="1:8">
      <c r="A93" s="180"/>
      <c r="B93" s="180"/>
      <c r="C93" s="180"/>
      <c r="D93" s="180"/>
      <c r="E93" s="180"/>
      <c r="F93" s="180"/>
      <c r="G93" s="180"/>
      <c r="H93" s="180"/>
    </row>
    <row r="94" spans="1:8">
      <c r="A94" s="180"/>
      <c r="B94" s="180"/>
      <c r="C94" s="180"/>
      <c r="D94" s="180"/>
      <c r="E94" s="180"/>
      <c r="F94" s="180"/>
      <c r="G94" s="180"/>
      <c r="H94" s="180"/>
    </row>
    <row r="95" spans="1:8">
      <c r="A95" s="180"/>
      <c r="B95" s="180"/>
      <c r="C95" s="180"/>
      <c r="D95" s="180"/>
      <c r="E95" s="180"/>
      <c r="F95" s="180"/>
      <c r="G95" s="180"/>
      <c r="H95" s="180"/>
    </row>
    <row r="96" spans="1:8">
      <c r="A96" s="180"/>
      <c r="B96" s="180"/>
      <c r="C96" s="180"/>
      <c r="D96" s="180"/>
      <c r="E96" s="180"/>
      <c r="F96" s="180"/>
      <c r="G96" s="180"/>
      <c r="H96" s="180"/>
    </row>
    <row r="97" spans="1:8">
      <c r="A97" s="180"/>
      <c r="B97" s="180"/>
      <c r="C97" s="180"/>
      <c r="D97" s="180"/>
      <c r="E97" s="180"/>
      <c r="F97" s="180"/>
      <c r="G97" s="180"/>
      <c r="H97" s="180"/>
    </row>
    <row r="98" spans="1:8">
      <c r="A98" s="180"/>
      <c r="B98" s="180"/>
      <c r="C98" s="180"/>
      <c r="D98" s="180"/>
      <c r="E98" s="180"/>
      <c r="F98" s="180"/>
      <c r="G98" s="180"/>
      <c r="H98" s="180"/>
    </row>
    <row r="99" spans="1:8">
      <c r="A99" s="180"/>
      <c r="B99" s="180"/>
      <c r="C99" s="180"/>
      <c r="D99" s="180"/>
      <c r="E99" s="180"/>
      <c r="F99" s="180"/>
      <c r="G99" s="180"/>
      <c r="H99" s="180"/>
    </row>
    <row r="100" spans="1:8">
      <c r="A100" s="180"/>
      <c r="B100" s="180"/>
      <c r="C100" s="180"/>
      <c r="D100" s="180"/>
      <c r="E100" s="180"/>
      <c r="F100" s="180"/>
      <c r="G100" s="180"/>
      <c r="H100" s="180"/>
    </row>
    <row r="101" spans="1:8">
      <c r="A101" s="180"/>
      <c r="B101" s="180"/>
      <c r="C101" s="180"/>
      <c r="D101" s="180"/>
      <c r="E101" s="180"/>
      <c r="F101" s="180"/>
      <c r="G101" s="180"/>
      <c r="H101" s="180"/>
    </row>
    <row r="102" spans="1:8">
      <c r="A102" s="180"/>
      <c r="B102" s="180"/>
      <c r="C102" s="180"/>
      <c r="D102" s="180"/>
      <c r="E102" s="180"/>
      <c r="F102" s="180"/>
      <c r="G102" s="180"/>
      <c r="H102" s="180"/>
    </row>
    <row r="103" spans="1:8">
      <c r="A103" s="180"/>
      <c r="B103" s="180"/>
      <c r="C103" s="180"/>
      <c r="D103" s="180"/>
      <c r="E103" s="180"/>
      <c r="F103" s="180"/>
      <c r="G103" s="180"/>
      <c r="H103" s="180"/>
    </row>
    <row r="104" spans="1:8">
      <c r="A104" s="180"/>
      <c r="B104" s="180"/>
      <c r="C104" s="180"/>
      <c r="D104" s="180"/>
      <c r="E104" s="180"/>
      <c r="F104" s="180"/>
      <c r="G104" s="180"/>
      <c r="H104" s="180"/>
    </row>
    <row r="105" spans="1:8">
      <c r="A105" s="180"/>
      <c r="B105" s="182"/>
      <c r="C105" s="182"/>
      <c r="D105" s="182"/>
      <c r="E105" s="180"/>
      <c r="F105" s="180"/>
      <c r="G105" s="180"/>
      <c r="H105" s="180"/>
    </row>
    <row r="106" spans="1:8">
      <c r="A106" s="180"/>
      <c r="B106" s="180"/>
      <c r="C106" s="180"/>
      <c r="D106" s="180"/>
      <c r="E106" s="180"/>
      <c r="F106" s="180"/>
      <c r="G106" s="180"/>
      <c r="H106" s="180"/>
    </row>
    <row r="107" spans="1:8" ht="33.75" customHeight="1">
      <c r="A107" s="180"/>
      <c r="B107" s="180"/>
      <c r="C107" s="180"/>
      <c r="D107" s="180"/>
      <c r="E107" s="180"/>
      <c r="F107" s="180"/>
      <c r="G107" s="180"/>
      <c r="H107" s="180"/>
    </row>
    <row r="108" spans="1:8">
      <c r="A108" s="180"/>
      <c r="B108" s="1595"/>
      <c r="C108" s="1595"/>
      <c r="D108" s="1856"/>
      <c r="E108" s="1857"/>
      <c r="F108" s="180"/>
      <c r="G108" s="180"/>
      <c r="H108" s="180"/>
    </row>
    <row r="109" spans="1:8">
      <c r="A109" s="180"/>
      <c r="B109" s="1594"/>
      <c r="C109" s="1594"/>
      <c r="D109" s="1857"/>
      <c r="E109" s="1857"/>
      <c r="F109" s="180"/>
      <c r="G109" s="180"/>
      <c r="H109" s="180"/>
    </row>
    <row r="110" spans="1:8">
      <c r="A110" s="180"/>
      <c r="B110" s="183"/>
      <c r="C110" s="183"/>
      <c r="D110" s="183"/>
      <c r="E110" s="180"/>
      <c r="F110" s="180"/>
      <c r="G110" s="180"/>
      <c r="H110" s="180"/>
    </row>
    <row r="111" spans="1:8">
      <c r="A111" s="180"/>
      <c r="B111" s="183"/>
      <c r="C111" s="183"/>
      <c r="D111" s="183"/>
      <c r="E111" s="180"/>
      <c r="F111" s="180"/>
      <c r="G111" s="180"/>
      <c r="H111" s="180"/>
    </row>
    <row r="112" spans="1:8">
      <c r="A112" s="180"/>
      <c r="B112" s="183"/>
      <c r="C112" s="183"/>
      <c r="D112" s="183"/>
      <c r="E112" s="180"/>
      <c r="F112" s="180"/>
      <c r="G112" s="180"/>
      <c r="H112" s="180"/>
    </row>
    <row r="113" spans="1:8">
      <c r="A113" s="180"/>
      <c r="B113" s="183"/>
      <c r="C113" s="183"/>
      <c r="D113" s="183"/>
      <c r="E113" s="180"/>
      <c r="F113" s="180"/>
      <c r="G113" s="180"/>
      <c r="H113" s="180"/>
    </row>
    <row r="114" spans="1:8">
      <c r="A114" s="180"/>
      <c r="B114" s="1595"/>
      <c r="C114" s="1595"/>
      <c r="D114" s="1856"/>
      <c r="E114" s="1857"/>
      <c r="F114" s="180"/>
      <c r="G114" s="180"/>
      <c r="H114" s="180"/>
    </row>
    <row r="115" spans="1:8">
      <c r="A115" s="180"/>
      <c r="B115" s="1594"/>
      <c r="C115" s="1594"/>
      <c r="D115" s="1857"/>
      <c r="E115" s="1857"/>
      <c r="F115" s="180"/>
      <c r="G115" s="180"/>
      <c r="H115" s="180"/>
    </row>
    <row r="116" spans="1:8">
      <c r="A116" s="180"/>
      <c r="B116" s="183"/>
      <c r="C116" s="183"/>
      <c r="D116" s="183"/>
      <c r="E116" s="180"/>
      <c r="F116" s="180"/>
      <c r="G116" s="180"/>
      <c r="H116" s="180"/>
    </row>
    <row r="117" spans="1:8">
      <c r="A117" s="180"/>
      <c r="B117" s="1595"/>
      <c r="C117" s="1595"/>
      <c r="D117" s="1856"/>
      <c r="E117" s="1857"/>
      <c r="F117" s="180"/>
      <c r="G117" s="180"/>
      <c r="H117" s="180"/>
    </row>
    <row r="118" spans="1:8">
      <c r="A118" s="180"/>
      <c r="B118" s="1593"/>
      <c r="C118" s="1593"/>
      <c r="D118" s="1858"/>
      <c r="E118" s="1857"/>
      <c r="F118" s="180"/>
      <c r="G118" s="180"/>
      <c r="H118" s="180"/>
    </row>
    <row r="119" spans="1:8">
      <c r="A119" s="180"/>
      <c r="B119" s="1593"/>
      <c r="C119" s="1593"/>
      <c r="D119" s="1858"/>
      <c r="E119" s="1857"/>
      <c r="F119" s="180"/>
      <c r="G119" s="180"/>
      <c r="H119" s="180"/>
    </row>
    <row r="120" spans="1:8">
      <c r="A120" s="180"/>
      <c r="B120" s="1593"/>
      <c r="C120" s="1593"/>
      <c r="D120" s="1858"/>
      <c r="E120" s="1857"/>
      <c r="F120" s="180"/>
      <c r="G120" s="180"/>
      <c r="H120" s="180"/>
    </row>
    <row r="121" spans="1:8">
      <c r="A121" s="180"/>
      <c r="B121" s="183"/>
      <c r="C121" s="183"/>
      <c r="D121" s="183"/>
      <c r="E121" s="180"/>
      <c r="F121" s="180"/>
      <c r="G121" s="180"/>
      <c r="H121" s="180"/>
    </row>
    <row r="122" spans="1:8" ht="29.25" customHeight="1">
      <c r="A122" s="180"/>
      <c r="B122" s="1595"/>
      <c r="C122" s="1595"/>
      <c r="D122" s="1856"/>
      <c r="E122" s="1857"/>
      <c r="F122" s="180"/>
      <c r="G122" s="180"/>
      <c r="H122" s="180"/>
    </row>
    <row r="123" spans="1:8">
      <c r="A123" s="180"/>
      <c r="B123" s="1593"/>
      <c r="C123" s="1593"/>
      <c r="D123" s="1858"/>
      <c r="E123" s="1857"/>
      <c r="F123" s="180"/>
      <c r="G123" s="180"/>
      <c r="H123" s="180"/>
    </row>
    <row r="124" spans="1:8" ht="18" customHeight="1">
      <c r="A124" s="180"/>
      <c r="B124" s="1593"/>
      <c r="C124" s="1593"/>
      <c r="D124" s="1858"/>
      <c r="E124" s="1857"/>
      <c r="F124" s="180"/>
      <c r="G124" s="180"/>
      <c r="H124" s="180"/>
    </row>
    <row r="125" spans="1:8" ht="27.75" customHeight="1">
      <c r="A125" s="180"/>
      <c r="B125" s="184"/>
      <c r="C125" s="184"/>
      <c r="D125" s="184"/>
      <c r="E125" s="180"/>
      <c r="F125" s="180"/>
      <c r="G125" s="180"/>
      <c r="H125" s="180"/>
    </row>
    <row r="126" spans="1:8" ht="28.9" customHeight="1">
      <c r="A126" s="180"/>
      <c r="B126" s="184"/>
      <c r="C126" s="184"/>
      <c r="D126" s="184"/>
      <c r="E126" s="180"/>
      <c r="F126" s="180"/>
      <c r="G126" s="180"/>
      <c r="H126" s="180"/>
    </row>
    <row r="127" spans="1:8">
      <c r="A127" s="180"/>
      <c r="B127" s="1593"/>
      <c r="C127" s="1593"/>
      <c r="D127" s="1858"/>
      <c r="E127" s="1857"/>
      <c r="F127" s="180"/>
      <c r="G127" s="180"/>
      <c r="H127" s="180"/>
    </row>
    <row r="128" spans="1:8">
      <c r="A128" s="180"/>
      <c r="B128" s="1593"/>
      <c r="C128" s="1593"/>
      <c r="D128" s="1858"/>
      <c r="E128" s="1857"/>
      <c r="F128" s="180"/>
      <c r="G128" s="180"/>
      <c r="H128" s="180"/>
    </row>
    <row r="129" spans="1:8">
      <c r="A129" s="180"/>
      <c r="B129" s="184"/>
      <c r="C129" s="184"/>
      <c r="D129" s="184"/>
      <c r="E129" s="180"/>
      <c r="F129" s="180"/>
      <c r="G129" s="180"/>
      <c r="H129" s="180"/>
    </row>
    <row r="130" spans="1:8">
      <c r="A130" s="180"/>
      <c r="B130" s="183"/>
      <c r="C130" s="183"/>
      <c r="D130" s="183"/>
      <c r="E130" s="180"/>
      <c r="F130" s="180"/>
      <c r="G130" s="180"/>
      <c r="H130" s="180"/>
    </row>
    <row r="131" spans="1:8">
      <c r="A131" s="180"/>
      <c r="B131" s="24"/>
      <c r="C131" s="24"/>
      <c r="D131" s="24"/>
      <c r="E131" s="180"/>
      <c r="F131" s="180"/>
      <c r="G131" s="180"/>
      <c r="H131" s="180"/>
    </row>
    <row r="132" spans="1:8">
      <c r="A132" s="180"/>
      <c r="B132" s="183"/>
      <c r="C132" s="183"/>
      <c r="D132" s="183"/>
      <c r="E132" s="180"/>
      <c r="F132" s="180"/>
      <c r="G132" s="180"/>
    </row>
    <row r="133" spans="1:8">
      <c r="B133" s="25"/>
      <c r="C133" s="25"/>
      <c r="D133" s="25"/>
      <c r="E133" s="2"/>
    </row>
    <row r="134" spans="1:8">
      <c r="B134" s="25"/>
      <c r="C134" s="25"/>
      <c r="D134" s="25"/>
      <c r="E134" s="2"/>
    </row>
    <row r="135" spans="1:8">
      <c r="B135" s="25"/>
      <c r="C135" s="25"/>
      <c r="D135" s="25"/>
      <c r="E135" s="2"/>
    </row>
    <row r="136" spans="1:8">
      <c r="B136" s="25"/>
      <c r="C136" s="25"/>
      <c r="D136" s="25"/>
      <c r="E136" s="2"/>
    </row>
    <row r="137" spans="1:8">
      <c r="B137" s="25"/>
      <c r="C137" s="25"/>
      <c r="D137" s="25"/>
      <c r="E137" s="2"/>
    </row>
    <row r="138" spans="1:8">
      <c r="B138" s="26"/>
      <c r="C138" s="26"/>
      <c r="D138" s="26"/>
      <c r="E138" s="2"/>
    </row>
    <row r="139" spans="1:8">
      <c r="B139" s="25"/>
      <c r="C139" s="25"/>
      <c r="D139" s="25"/>
      <c r="E139" s="2"/>
    </row>
    <row r="140" spans="1:8">
      <c r="B140" s="25"/>
      <c r="C140" s="25"/>
      <c r="D140" s="25"/>
      <c r="E140" s="2"/>
    </row>
    <row r="141" spans="1:8">
      <c r="B141" s="25"/>
      <c r="C141" s="25"/>
      <c r="D141" s="25"/>
      <c r="E141" s="2"/>
    </row>
    <row r="142" spans="1:8">
      <c r="B142" s="25"/>
      <c r="C142" s="25"/>
      <c r="D142" s="25"/>
      <c r="E142" s="2"/>
    </row>
    <row r="143" spans="1:8">
      <c r="B143" s="25"/>
      <c r="C143" s="25"/>
      <c r="D143" s="25"/>
      <c r="E143" s="2"/>
    </row>
    <row r="144" spans="1:8">
      <c r="B144" s="25"/>
      <c r="C144" s="25"/>
      <c r="D144" s="25"/>
      <c r="E144" s="2"/>
    </row>
    <row r="145" spans="2:5">
      <c r="B145" s="26"/>
      <c r="C145" s="26"/>
      <c r="D145" s="26"/>
      <c r="E145" s="2"/>
    </row>
    <row r="146" spans="2:5">
      <c r="B146" s="25"/>
      <c r="C146" s="25"/>
      <c r="D146" s="25"/>
      <c r="E146" s="2"/>
    </row>
    <row r="147" spans="2:5">
      <c r="B147" s="27"/>
      <c r="C147" s="27"/>
      <c r="D147" s="27"/>
      <c r="E147" s="2"/>
    </row>
    <row r="148" spans="2:5">
      <c r="B148" s="27"/>
      <c r="C148" s="27"/>
      <c r="D148" s="27"/>
      <c r="E148" s="2"/>
    </row>
    <row r="149" spans="2:5">
      <c r="B149" s="27"/>
      <c r="C149" s="27"/>
      <c r="D149" s="27"/>
      <c r="E149" s="2"/>
    </row>
    <row r="150" spans="2:5">
      <c r="B150" s="25"/>
      <c r="C150" s="25"/>
      <c r="D150" s="25"/>
      <c r="E150" s="2"/>
    </row>
    <row r="151" spans="2:5">
      <c r="B151" s="27"/>
      <c r="C151" s="27"/>
      <c r="D151" s="27"/>
      <c r="E151" s="2"/>
    </row>
    <row r="152" spans="2:5">
      <c r="B152" s="27"/>
      <c r="C152" s="27"/>
      <c r="D152" s="27"/>
      <c r="E152" s="2"/>
    </row>
    <row r="153" spans="2:5">
      <c r="B153" s="25"/>
      <c r="C153" s="25"/>
      <c r="D153" s="25"/>
      <c r="E153" s="2"/>
    </row>
    <row r="154" spans="2:5">
      <c r="B154" s="25"/>
      <c r="C154" s="25"/>
      <c r="D154" s="25"/>
      <c r="E154" s="2"/>
    </row>
    <row r="155" spans="2:5">
      <c r="B155" s="25"/>
      <c r="C155" s="25"/>
      <c r="D155" s="25"/>
      <c r="E155" s="2"/>
    </row>
    <row r="156" spans="2:5">
      <c r="B156" s="26"/>
      <c r="C156" s="26"/>
      <c r="D156" s="26"/>
      <c r="E156" s="2"/>
    </row>
    <row r="157" spans="2:5">
      <c r="B157" s="25"/>
      <c r="C157" s="25"/>
      <c r="D157" s="25"/>
      <c r="E157" s="2"/>
    </row>
    <row r="158" spans="2:5">
      <c r="B158" s="25"/>
      <c r="C158" s="25"/>
      <c r="D158" s="25"/>
      <c r="E158" s="2"/>
    </row>
    <row r="159" spans="2:5">
      <c r="B159" s="25"/>
      <c r="C159" s="25"/>
      <c r="D159" s="25"/>
      <c r="E159" s="2"/>
    </row>
    <row r="160" spans="2:5">
      <c r="B160" s="25"/>
      <c r="C160" s="25"/>
      <c r="D160" s="25"/>
      <c r="E160" s="2"/>
    </row>
    <row r="161" spans="2:5">
      <c r="B161" s="25"/>
      <c r="C161" s="25"/>
      <c r="D161" s="25"/>
      <c r="E161" s="2"/>
    </row>
    <row r="162" spans="2:5">
      <c r="B162" s="25"/>
      <c r="C162" s="25"/>
      <c r="D162" s="25"/>
      <c r="E162" s="2"/>
    </row>
    <row r="163" spans="2:5">
      <c r="B163" s="25"/>
      <c r="C163" s="25"/>
      <c r="D163" s="25"/>
      <c r="E163" s="2"/>
    </row>
    <row r="164" spans="2:5">
      <c r="B164" s="25"/>
      <c r="C164" s="25"/>
      <c r="D164" s="25"/>
      <c r="E164" s="2"/>
    </row>
    <row r="165" spans="2:5">
      <c r="B165" s="25"/>
      <c r="C165" s="25"/>
      <c r="D165" s="25"/>
      <c r="E165" s="2"/>
    </row>
    <row r="166" spans="2:5">
      <c r="B166" s="26"/>
      <c r="C166" s="26"/>
      <c r="D166" s="26"/>
      <c r="E166" s="2"/>
    </row>
    <row r="167" spans="2:5">
      <c r="B167" s="25"/>
      <c r="C167" s="25"/>
      <c r="D167" s="25"/>
      <c r="E167" s="2"/>
    </row>
    <row r="168" spans="2:5">
      <c r="B168" s="25"/>
      <c r="C168" s="25"/>
      <c r="D168" s="25"/>
      <c r="E168" s="2"/>
    </row>
    <row r="169" spans="2:5">
      <c r="B169" s="25"/>
      <c r="C169" s="25"/>
      <c r="D169" s="25"/>
      <c r="E169" s="2"/>
    </row>
    <row r="170" spans="2:5">
      <c r="B170" s="25"/>
      <c r="C170" s="25"/>
      <c r="D170" s="25"/>
      <c r="E170" s="2"/>
    </row>
    <row r="171" spans="2:5">
      <c r="B171" s="26"/>
      <c r="C171" s="26"/>
      <c r="D171" s="26"/>
      <c r="E171" s="2"/>
    </row>
    <row r="172" spans="2:5">
      <c r="B172" s="25"/>
      <c r="C172" s="25"/>
      <c r="D172" s="25"/>
      <c r="E172" s="2"/>
    </row>
    <row r="173" spans="2:5">
      <c r="B173" s="25"/>
      <c r="C173" s="25"/>
      <c r="D173" s="25"/>
      <c r="E173" s="2"/>
    </row>
    <row r="174" spans="2:5">
      <c r="B174" s="27"/>
      <c r="C174" s="27"/>
      <c r="D174" s="27"/>
      <c r="E174" s="2"/>
    </row>
    <row r="175" spans="2:5">
      <c r="B175" s="27"/>
      <c r="C175" s="27"/>
      <c r="D175" s="27"/>
      <c r="E175" s="2"/>
    </row>
    <row r="176" spans="2:5">
      <c r="B176" s="25"/>
      <c r="C176" s="25"/>
      <c r="D176" s="25"/>
      <c r="E176" s="2"/>
    </row>
    <row r="177" spans="2:5">
      <c r="B177" s="25"/>
      <c r="C177" s="25"/>
      <c r="D177" s="25"/>
      <c r="E177" s="2"/>
    </row>
    <row r="178" spans="2:5">
      <c r="B178" s="26"/>
      <c r="C178" s="26"/>
      <c r="D178" s="26"/>
      <c r="E178" s="2"/>
    </row>
    <row r="179" spans="2:5">
      <c r="B179" s="25"/>
      <c r="C179" s="25"/>
      <c r="D179" s="25"/>
      <c r="E179" s="2"/>
    </row>
    <row r="180" spans="2:5">
      <c r="B180" s="25"/>
      <c r="C180" s="25"/>
      <c r="D180" s="25"/>
      <c r="E180" s="2"/>
    </row>
    <row r="181" spans="2:5">
      <c r="B181" s="25"/>
      <c r="C181" s="25"/>
      <c r="D181" s="25"/>
      <c r="E181" s="2"/>
    </row>
    <row r="182" spans="2:5">
      <c r="B182" s="25"/>
      <c r="C182" s="25"/>
      <c r="D182" s="25"/>
      <c r="E182" s="2"/>
    </row>
    <row r="183" spans="2:5">
      <c r="B183" s="26"/>
      <c r="C183" s="26"/>
      <c r="D183" s="26"/>
      <c r="E183" s="2"/>
    </row>
    <row r="184" spans="2:5">
      <c r="B184" s="25"/>
      <c r="C184" s="25"/>
      <c r="D184" s="25"/>
      <c r="E184" s="2"/>
    </row>
    <row r="185" spans="2:5">
      <c r="B185" s="25"/>
      <c r="C185" s="25"/>
      <c r="D185" s="25"/>
      <c r="E185" s="2"/>
    </row>
    <row r="186" spans="2:5">
      <c r="B186" s="25"/>
      <c r="C186" s="25"/>
      <c r="D186" s="25"/>
      <c r="E186" s="2"/>
    </row>
    <row r="187" spans="2:5">
      <c r="B187" s="25"/>
      <c r="C187" s="25"/>
      <c r="D187" s="25"/>
      <c r="E187" s="2"/>
    </row>
    <row r="188" spans="2:5">
      <c r="B188" s="25"/>
      <c r="C188" s="25"/>
      <c r="D188" s="25"/>
      <c r="E188" s="2"/>
    </row>
    <row r="189" spans="2:5">
      <c r="B189" s="25"/>
      <c r="C189" s="25"/>
      <c r="D189" s="25"/>
      <c r="E189" s="2"/>
    </row>
    <row r="190" spans="2:5">
      <c r="B190" s="25"/>
      <c r="C190" s="25"/>
      <c r="D190" s="25"/>
      <c r="E190" s="2"/>
    </row>
    <row r="191" spans="2:5">
      <c r="B191" s="26"/>
      <c r="C191" s="26"/>
      <c r="D191" s="26"/>
      <c r="E191" s="2"/>
    </row>
    <row r="192" spans="2:5">
      <c r="B192" s="25"/>
      <c r="C192" s="25"/>
      <c r="D192" s="25"/>
      <c r="E192" s="2"/>
    </row>
    <row r="193" spans="2:5">
      <c r="B193" s="25"/>
      <c r="C193" s="25"/>
      <c r="D193" s="25"/>
      <c r="E193" s="2"/>
    </row>
    <row r="194" spans="2:5">
      <c r="B194" s="25"/>
      <c r="C194" s="25"/>
      <c r="D194" s="25"/>
      <c r="E194" s="2"/>
    </row>
    <row r="195" spans="2:5">
      <c r="B195" s="25"/>
      <c r="C195" s="25"/>
      <c r="D195" s="25"/>
      <c r="E195" s="2"/>
    </row>
    <row r="196" spans="2:5">
      <c r="B196" s="25"/>
      <c r="C196" s="25"/>
      <c r="D196" s="25"/>
      <c r="E196" s="2"/>
    </row>
    <row r="197" spans="2:5">
      <c r="B197" s="25"/>
      <c r="C197" s="25"/>
      <c r="D197" s="25"/>
      <c r="E197" s="2"/>
    </row>
    <row r="198" spans="2:5">
      <c r="B198" s="25"/>
      <c r="C198" s="25"/>
      <c r="D198" s="25"/>
      <c r="E198" s="2"/>
    </row>
    <row r="199" spans="2:5">
      <c r="B199" s="25"/>
      <c r="C199" s="25"/>
      <c r="D199" s="25"/>
      <c r="E199" s="2"/>
    </row>
    <row r="200" spans="2:5">
      <c r="B200" s="26"/>
      <c r="C200" s="26"/>
      <c r="D200" s="26"/>
      <c r="E200" s="2"/>
    </row>
    <row r="201" spans="2:5">
      <c r="B201" s="25"/>
      <c r="C201" s="25"/>
      <c r="D201" s="25"/>
      <c r="E201" s="2"/>
    </row>
    <row r="202" spans="2:5">
      <c r="B202" s="25"/>
      <c r="C202" s="25"/>
      <c r="D202" s="25"/>
      <c r="E202" s="2"/>
    </row>
    <row r="203" spans="2:5">
      <c r="B203" s="25"/>
      <c r="C203" s="25"/>
      <c r="D203" s="25"/>
      <c r="E203" s="2"/>
    </row>
    <row r="204" spans="2:5">
      <c r="B204" s="25"/>
      <c r="C204" s="25"/>
      <c r="D204" s="25"/>
      <c r="E204" s="2"/>
    </row>
    <row r="205" spans="2:5">
      <c r="B205" s="25"/>
      <c r="C205" s="25"/>
      <c r="D205" s="25"/>
      <c r="E205" s="2"/>
    </row>
    <row r="206" spans="2:5">
      <c r="B206" s="25"/>
      <c r="C206" s="25"/>
      <c r="D206" s="25"/>
      <c r="E206" s="2"/>
    </row>
    <row r="207" spans="2:5">
      <c r="B207" s="25"/>
      <c r="C207" s="25"/>
      <c r="D207" s="25"/>
      <c r="E207" s="2"/>
    </row>
    <row r="208" spans="2:5">
      <c r="B208" s="26"/>
      <c r="C208" s="26"/>
      <c r="D208" s="26"/>
      <c r="E208" s="2"/>
    </row>
    <row r="209" spans="2:5">
      <c r="B209" s="25"/>
      <c r="C209" s="25"/>
      <c r="D209" s="25"/>
      <c r="E209" s="2"/>
    </row>
    <row r="210" spans="2:5">
      <c r="B210" s="25"/>
      <c r="C210" s="25"/>
      <c r="D210" s="25"/>
      <c r="E210" s="2"/>
    </row>
    <row r="211" spans="2:5">
      <c r="B211" s="25"/>
      <c r="C211" s="25"/>
      <c r="D211" s="25"/>
      <c r="E211" s="2"/>
    </row>
    <row r="212" spans="2:5">
      <c r="B212" s="25"/>
      <c r="C212" s="25"/>
      <c r="D212" s="25"/>
      <c r="E212" s="2"/>
    </row>
    <row r="213" spans="2:5">
      <c r="B213" s="25"/>
      <c r="C213" s="25"/>
      <c r="D213" s="25"/>
      <c r="E213" s="2"/>
    </row>
    <row r="214" spans="2:5">
      <c r="B214" s="26"/>
      <c r="C214" s="26"/>
      <c r="D214" s="26"/>
      <c r="E214" s="2"/>
    </row>
    <row r="215" spans="2:5">
      <c r="B215" s="25"/>
      <c r="C215" s="25"/>
      <c r="D215" s="25"/>
      <c r="E215" s="2"/>
    </row>
    <row r="216" spans="2:5">
      <c r="B216" s="25"/>
      <c r="C216" s="25"/>
      <c r="D216" s="25"/>
      <c r="E216" s="2"/>
    </row>
    <row r="217" spans="2:5">
      <c r="B217" s="25"/>
      <c r="C217" s="25"/>
      <c r="D217" s="25"/>
      <c r="E217" s="2"/>
    </row>
    <row r="218" spans="2:5">
      <c r="B218" s="27"/>
      <c r="C218" s="27"/>
      <c r="D218" s="27"/>
      <c r="E218" s="2"/>
    </row>
    <row r="219" spans="2:5">
      <c r="B219" s="27"/>
      <c r="C219" s="27"/>
      <c r="D219" s="27"/>
      <c r="E219" s="2"/>
    </row>
    <row r="220" spans="2:5">
      <c r="B220" s="27"/>
      <c r="C220" s="27"/>
      <c r="D220" s="27"/>
      <c r="E220" s="2"/>
    </row>
    <row r="221" spans="2:5">
      <c r="B221" s="27"/>
      <c r="C221" s="27"/>
      <c r="D221" s="27"/>
      <c r="E221" s="2"/>
    </row>
    <row r="222" spans="2:5">
      <c r="B222" s="25"/>
      <c r="C222" s="25"/>
      <c r="D222" s="25"/>
      <c r="E222" s="2"/>
    </row>
    <row r="223" spans="2:5">
      <c r="B223" s="25"/>
      <c r="C223" s="25"/>
      <c r="D223" s="25"/>
      <c r="E223" s="2"/>
    </row>
    <row r="224" spans="2:5">
      <c r="B224" s="26"/>
      <c r="C224" s="26"/>
      <c r="D224" s="26"/>
      <c r="E224" s="2"/>
    </row>
    <row r="225" spans="2:5">
      <c r="B225" s="25"/>
      <c r="C225" s="25"/>
      <c r="D225" s="25"/>
      <c r="E225" s="2"/>
    </row>
    <row r="226" spans="2:5">
      <c r="B226" s="25"/>
      <c r="C226" s="25"/>
      <c r="D226" s="25"/>
      <c r="E226" s="2"/>
    </row>
    <row r="227" spans="2:5">
      <c r="B227" s="27"/>
      <c r="C227" s="27"/>
      <c r="D227" s="27"/>
      <c r="E227" s="2"/>
    </row>
    <row r="228" spans="2:5">
      <c r="B228" s="27"/>
      <c r="C228" s="27"/>
      <c r="D228" s="27"/>
      <c r="E228" s="2"/>
    </row>
    <row r="229" spans="2:5">
      <c r="B229" s="25"/>
      <c r="C229" s="25"/>
      <c r="D229" s="25"/>
      <c r="E229" s="2"/>
    </row>
    <row r="230" spans="2:5">
      <c r="B230" s="25"/>
      <c r="C230" s="25"/>
      <c r="D230" s="25"/>
      <c r="E230" s="2"/>
    </row>
    <row r="231" spans="2:5">
      <c r="B231" s="26"/>
      <c r="C231" s="26"/>
      <c r="D231" s="26"/>
      <c r="E231" s="2"/>
    </row>
    <row r="232" spans="2:5">
      <c r="B232" s="25"/>
      <c r="C232" s="25"/>
      <c r="D232" s="25"/>
      <c r="E232" s="2"/>
    </row>
    <row r="233" spans="2:5">
      <c r="B233" s="25"/>
      <c r="C233" s="25"/>
      <c r="D233" s="25"/>
      <c r="E233" s="2"/>
    </row>
    <row r="234" spans="2:5">
      <c r="B234" s="27"/>
      <c r="C234" s="27"/>
      <c r="D234" s="27"/>
      <c r="E234" s="2"/>
    </row>
    <row r="235" spans="2:5">
      <c r="B235" s="27"/>
      <c r="C235" s="27"/>
      <c r="D235" s="27"/>
      <c r="E235" s="2"/>
    </row>
    <row r="236" spans="2:5">
      <c r="B236" s="25"/>
      <c r="C236" s="25"/>
      <c r="D236" s="25"/>
      <c r="E236" s="2"/>
    </row>
    <row r="237" spans="2:5">
      <c r="B237" s="27"/>
      <c r="C237" s="27"/>
      <c r="D237" s="27"/>
      <c r="E237" s="2"/>
    </row>
    <row r="238" spans="2:5">
      <c r="B238" s="27"/>
      <c r="C238" s="27"/>
      <c r="D238" s="27"/>
      <c r="E238" s="2"/>
    </row>
    <row r="239" spans="2:5">
      <c r="B239" s="25"/>
      <c r="C239" s="25"/>
      <c r="D239" s="25"/>
      <c r="E239" s="2"/>
    </row>
    <row r="240" spans="2:5">
      <c r="B240" s="25"/>
      <c r="C240" s="25"/>
      <c r="D240" s="25"/>
      <c r="E240" s="2"/>
    </row>
    <row r="241" spans="2:5">
      <c r="B241" s="26"/>
      <c r="C241" s="26"/>
      <c r="D241" s="26"/>
      <c r="E241" s="2"/>
    </row>
    <row r="242" spans="2:5">
      <c r="B242" s="25"/>
      <c r="C242" s="25"/>
      <c r="D242" s="25"/>
      <c r="E242" s="2"/>
    </row>
    <row r="243" spans="2:5">
      <c r="B243" s="25"/>
      <c r="C243" s="25"/>
      <c r="D243" s="25"/>
      <c r="E243" s="2"/>
    </row>
    <row r="244" spans="2:5">
      <c r="B244" s="25"/>
      <c r="C244" s="25"/>
      <c r="D244" s="25"/>
      <c r="E244" s="2"/>
    </row>
    <row r="245" spans="2:5">
      <c r="B245" s="26"/>
      <c r="C245" s="26"/>
      <c r="D245" s="26"/>
      <c r="E245" s="2"/>
    </row>
    <row r="246" spans="2:5">
      <c r="B246" s="25"/>
      <c r="C246" s="25"/>
      <c r="D246" s="25"/>
      <c r="E246" s="2"/>
    </row>
    <row r="247" spans="2:5">
      <c r="B247" s="25"/>
      <c r="C247" s="25"/>
      <c r="D247" s="25"/>
      <c r="E247" s="2"/>
    </row>
    <row r="248" spans="2:5">
      <c r="B248" s="25"/>
      <c r="C248" s="25"/>
      <c r="D248" s="25"/>
      <c r="E248" s="2"/>
    </row>
    <row r="249" spans="2:5">
      <c r="B249" s="26"/>
      <c r="C249" s="26"/>
      <c r="D249" s="26"/>
      <c r="E249" s="2"/>
    </row>
    <row r="250" spans="2:5">
      <c r="B250" s="25"/>
      <c r="C250" s="25"/>
      <c r="D250" s="25"/>
      <c r="E250" s="2"/>
    </row>
    <row r="251" spans="2:5">
      <c r="B251" s="25"/>
      <c r="C251" s="25"/>
      <c r="D251" s="25"/>
      <c r="E251" s="2"/>
    </row>
    <row r="252" spans="2:5">
      <c r="B252" s="25"/>
      <c r="C252" s="25"/>
      <c r="D252" s="25"/>
      <c r="E252" s="2"/>
    </row>
    <row r="253" spans="2:5">
      <c r="B253" s="25"/>
      <c r="C253" s="25"/>
      <c r="D253" s="25"/>
      <c r="E253" s="2"/>
    </row>
    <row r="254" spans="2:5">
      <c r="B254" s="27"/>
      <c r="C254" s="27"/>
      <c r="D254" s="27"/>
      <c r="E254" s="2"/>
    </row>
    <row r="255" spans="2:5">
      <c r="B255" s="27"/>
      <c r="C255" s="27"/>
      <c r="D255" s="27"/>
      <c r="E255" s="2"/>
    </row>
    <row r="256" spans="2:5">
      <c r="B256" s="27"/>
      <c r="C256" s="27"/>
      <c r="D256" s="27"/>
      <c r="E256" s="2"/>
    </row>
    <row r="257" spans="2:5">
      <c r="B257" s="27"/>
      <c r="C257" s="27"/>
      <c r="D257" s="27"/>
      <c r="E257" s="2"/>
    </row>
    <row r="258" spans="2:5">
      <c r="B258" s="25"/>
      <c r="C258" s="25"/>
      <c r="D258" s="25"/>
      <c r="E258" s="2"/>
    </row>
    <row r="259" spans="2:5">
      <c r="B259" s="25"/>
      <c r="C259" s="25"/>
      <c r="D259" s="25"/>
      <c r="E259" s="2"/>
    </row>
    <row r="260" spans="2:5">
      <c r="B260" s="25"/>
      <c r="C260" s="25"/>
      <c r="D260" s="25"/>
      <c r="E260" s="2"/>
    </row>
    <row r="261" spans="2:5">
      <c r="B261" s="25"/>
      <c r="C261" s="25"/>
      <c r="D261" s="25"/>
      <c r="E261" s="2"/>
    </row>
    <row r="262" spans="2:5">
      <c r="B262" s="25"/>
      <c r="C262" s="25"/>
      <c r="D262" s="25"/>
      <c r="E262" s="2"/>
    </row>
    <row r="263" spans="2:5">
      <c r="B263" s="25"/>
      <c r="C263" s="25"/>
      <c r="D263" s="25"/>
      <c r="E263" s="2"/>
    </row>
    <row r="264" spans="2:5">
      <c r="B264" s="26"/>
      <c r="C264" s="26"/>
      <c r="D264" s="26"/>
      <c r="E264" s="2"/>
    </row>
    <row r="265" spans="2:5">
      <c r="B265" s="25"/>
      <c r="C265" s="25"/>
      <c r="D265" s="25"/>
      <c r="E265" s="2"/>
    </row>
    <row r="266" spans="2:5">
      <c r="B266" s="25"/>
      <c r="C266" s="25"/>
      <c r="D266" s="25"/>
      <c r="E266" s="2"/>
    </row>
    <row r="267" spans="2:5">
      <c r="B267" s="25"/>
      <c r="C267" s="25"/>
      <c r="D267" s="25"/>
      <c r="E267" s="2"/>
    </row>
    <row r="268" spans="2:5">
      <c r="B268" s="27"/>
      <c r="C268" s="27"/>
      <c r="D268" s="27"/>
      <c r="E268" s="2"/>
    </row>
    <row r="269" spans="2:5">
      <c r="B269" s="27"/>
      <c r="C269" s="27"/>
      <c r="D269" s="27"/>
      <c r="E269" s="2"/>
    </row>
    <row r="270" spans="2:5">
      <c r="B270" s="25"/>
      <c r="C270" s="25"/>
      <c r="D270" s="25"/>
      <c r="E270" s="2"/>
    </row>
    <row r="271" spans="2:5">
      <c r="B271" s="25"/>
      <c r="C271" s="25"/>
      <c r="D271" s="25"/>
      <c r="E271" s="2"/>
    </row>
    <row r="272" spans="2:5">
      <c r="B272" s="27"/>
      <c r="C272" s="27"/>
      <c r="D272" s="27"/>
      <c r="E272" s="2"/>
    </row>
    <row r="273" spans="2:5">
      <c r="B273" s="27"/>
      <c r="C273" s="27"/>
      <c r="D273" s="27"/>
      <c r="E273" s="2"/>
    </row>
    <row r="274" spans="2:5">
      <c r="B274" s="27"/>
      <c r="C274" s="27"/>
      <c r="D274" s="27"/>
      <c r="E274" s="2"/>
    </row>
    <row r="275" spans="2:5">
      <c r="B275" s="27"/>
      <c r="C275" s="27"/>
      <c r="D275" s="27"/>
      <c r="E275" s="2"/>
    </row>
    <row r="276" spans="2:5">
      <c r="B276" s="27"/>
      <c r="C276" s="27"/>
      <c r="D276" s="27"/>
      <c r="E276" s="2"/>
    </row>
    <row r="277" spans="2:5">
      <c r="B277" s="25"/>
      <c r="C277" s="25"/>
      <c r="D277" s="25"/>
      <c r="E277" s="2"/>
    </row>
    <row r="278" spans="2:5">
      <c r="B278" s="25"/>
      <c r="C278" s="25"/>
      <c r="D278" s="25"/>
      <c r="E278" s="2"/>
    </row>
    <row r="279" spans="2:5">
      <c r="B279" s="26"/>
      <c r="C279" s="26"/>
      <c r="D279" s="26"/>
      <c r="E279" s="2"/>
    </row>
    <row r="280" spans="2:5">
      <c r="B280" s="25"/>
      <c r="C280" s="25"/>
      <c r="D280" s="25"/>
      <c r="E280" s="2"/>
    </row>
    <row r="281" spans="2:5">
      <c r="B281" s="25"/>
      <c r="C281" s="25"/>
      <c r="D281" s="25"/>
      <c r="E281" s="2"/>
    </row>
    <row r="282" spans="2:5">
      <c r="B282" s="25"/>
      <c r="C282" s="25"/>
      <c r="D282" s="25"/>
      <c r="E282" s="2"/>
    </row>
  </sheetData>
  <mergeCells count="19">
    <mergeCell ref="B7:B8"/>
    <mergeCell ref="C7:C8"/>
    <mergeCell ref="D7:D8"/>
    <mergeCell ref="D123:E123"/>
    <mergeCell ref="D124:E124"/>
    <mergeCell ref="D114:E114"/>
    <mergeCell ref="D128:E128"/>
    <mergeCell ref="D115:E115"/>
    <mergeCell ref="D117:E117"/>
    <mergeCell ref="D118:E118"/>
    <mergeCell ref="D119:E119"/>
    <mergeCell ref="D120:E120"/>
    <mergeCell ref="D122:E122"/>
    <mergeCell ref="D2:E2"/>
    <mergeCell ref="D3:E3"/>
    <mergeCell ref="D4:E4"/>
    <mergeCell ref="D108:E108"/>
    <mergeCell ref="D109:E109"/>
    <mergeCell ref="D127:E127"/>
  </mergeCells>
  <dataValidations count="1">
    <dataValidation allowBlank="1" showInputMessage="1" showErrorMessage="1" prompt="The Utility Name CAN BE EDITED in this cell._x000a__x000a_The utility Name in all other worksheets is derived from this cell." sqref="E5"/>
  </dataValidations>
  <hyperlinks>
    <hyperlink ref="E10" location="Hearing!A1" tooltip="Click to go to Hearing" display="Hearing - Telephonic Hearing Information"/>
    <hyperlink ref="E11" location="Attach1!A1" tooltip="Click to go to Attach1" display="Attachment 1 - Listing Of Largest Customers Billed During the Latest 12 Months"/>
    <hyperlink ref="E14" location="MainMenu!A1" tooltip="Click to go to Attach3" display="Attachment 3A - Volume Sales Test Year "/>
    <hyperlink ref="E17" location="Attach4!A1" tooltip="Click to go to Attach4" display="Attachment 4 - Public Fire Protection Revenue Test Year (Summary)"/>
    <hyperlink ref="E20" location="Attach7!A1" tooltip="Click to go to Attach7" display="Attachment 7 - Operating Revenues Test Year (Summary)"/>
    <hyperlink ref="E22" location="Attach9!A1" tooltip="Click to go to Attach9" display="Attachment 9 - Property Tax Equivalent Computation"/>
    <hyperlink ref="E25" location="Attach11a!A1" tooltip="Click to go to Attach11" display="Attachment 11a - Utility Plant"/>
    <hyperlink ref="E26" location="Attach12!A1" tooltip="Click to go to Attach12" display="Attachment 12 - Depreciation Accrual and Expenses"/>
    <hyperlink ref="E27" location="Attach13!A1" tooltip="Click to go to Attach13" display="Attachment 13 - Accumulated Depreciation, Contributions In Aid of Construction and Materials &amp; Supplies"/>
    <hyperlink ref="E28" location="Attach14!A1" tooltip="Click to go to Attach14" display="Attachment 14 - Estimated Rate Base and Increase Requested"/>
    <hyperlink ref="E18" location="Attach5!A1" tooltip="Click to go to Attach5" display="Attachment 5 - Public Fire Protection Revenue Test Year (Detail)"/>
    <hyperlink ref="E19" location="Attach6!A1" tooltip="Click to go to Attach6" display="Attachment 6 - Private Fire Protection Revenue Test Year"/>
    <hyperlink ref="E29" location="Attach15!A1" tooltip="Click to go to Attach15" display="Attachment 15 - Financing and Debt Summary"/>
    <hyperlink ref="E31" location="Attach17!A1" tooltip="Click to go to Attach17" display="Attachment 17 - Miscellaneous Information"/>
    <hyperlink ref="E32" location="Attach18!A1" tooltip="Click to go to Attach18" display="Attachment 18 - Water Conservation Spending"/>
    <hyperlink ref="E33" location="Attach19!A1" tooltip="Click to go to Attach19" display="Attachment 19 - Step II Information (only applies to utilities requesting a two step rate case)"/>
    <hyperlink ref="E34" location="Attach20!A1" tooltip="Click to go to Attach20" display="Attachment 20 - Step II Increase Requested (only applies to utilities requesting a two step rate case)"/>
    <hyperlink ref="E35" location="Attach21!A1" tooltip="Click to go to Attach21" display="Attachment 21 - Step II Notes (only applies to utilities requesting a two step rate case)"/>
    <hyperlink ref="E9" location="'F3024'!A1" tooltip="Click to go to F3024" display="Form #3024 - Application To Increase Rates Form"/>
    <hyperlink ref="E21" location="Attach8!A1" display="Attachment 8 - Taxes Test Year Summary"/>
    <hyperlink ref="E16" location="Attach3A!A1" display="Attachment 3W - Wholesale Revenues"/>
    <hyperlink ref="E12" location="Attach2A!A1" tooltip="Click to go to Attach2" display="Attachment 2A - Volume Sales Historical"/>
    <hyperlink ref="E24" location="Attach11!A1" tooltip="Click to go to Attach11" display="Attachment 11 - Utility Plant in Service"/>
    <hyperlink ref="E36" location="Attach22!A1" tooltip="Click to go to Attach21" display="Attachment 22 - Step II Notes"/>
    <hyperlink ref="E30" location="MainMenu!A1" tooltip="Click to go to Attach15" display="Attachment 16 - Impact Fees"/>
    <hyperlink ref="E13" location="Attach2B!A1" display="Attachment 2B - Meter Sales Historical"/>
    <hyperlink ref="E15" location="Attach3B!A1" display="Attachment 3B - Meter Sales Test Year"/>
  </hyperlinks>
  <printOptions horizontalCentered="1"/>
  <pageMargins left="0.5" right="0.25" top="0.75" bottom="0" header="0" footer="0"/>
  <pageSetup scale="21" orientation="portrait" r:id="rId1"/>
  <headerFooter alignWithMargins="0"/>
  <legacyDrawing r:id="rId2"/>
  <controls>
    <control shapeId="68737" r:id="rId3" name="PSCAccess"/>
    <control shapeId="68722" r:id="rId4" name="cmdUnlockForPSCUse"/>
    <control shapeId="68712" r:id="rId5" name="cmdClearEditList"/>
    <control shapeId="68711" r:id="rId6" name="cmdPrintOut"/>
    <control shapeId="68710" r:id="rId7" name="cmdRerunEdit"/>
    <control shapeId="68709" r:id="rId8" name="txtEditChecks"/>
    <control shapeId="68692" r:id="rId9" name="CommandButton3"/>
    <control shapeId="68691" r:id="rId10" name="CommandButton1"/>
  </controls>
</worksheet>
</file>

<file path=xl/worksheets/sheet30.xml><?xml version="1.0" encoding="utf-8"?>
<worksheet xmlns="http://schemas.openxmlformats.org/spreadsheetml/2006/main" xmlns:r="http://schemas.openxmlformats.org/officeDocument/2006/relationships">
  <sheetPr codeName="Sheet23"/>
  <dimension ref="A1:R269"/>
  <sheetViews>
    <sheetView showGridLines="0" topLeftCell="A91" zoomScaleNormal="100" workbookViewId="0">
      <selection activeCell="C106" sqref="C106"/>
    </sheetView>
  </sheetViews>
  <sheetFormatPr defaultColWidth="8.85546875" defaultRowHeight="12.75"/>
  <cols>
    <col min="1" max="1" width="6.42578125" style="120" customWidth="1"/>
    <col min="2" max="2" width="11.85546875" style="120" customWidth="1"/>
    <col min="3" max="3" width="10.7109375" style="120" customWidth="1"/>
    <col min="4" max="4" width="16.28515625" style="120" customWidth="1"/>
    <col min="5" max="9" width="9.140625" style="120" customWidth="1"/>
    <col min="10" max="10" width="10.28515625" style="120" bestFit="1" customWidth="1"/>
    <col min="11" max="11" width="11.85546875" style="120" customWidth="1"/>
    <col min="12" max="14" width="9.140625" style="120" customWidth="1"/>
    <col min="15" max="15" width="8.85546875" style="120"/>
    <col min="16" max="18" width="8.85546875" style="1472"/>
    <col min="19" max="16384" width="8.85546875" style="120"/>
  </cols>
  <sheetData>
    <row r="1" spans="1:18" s="192" customFormat="1">
      <c r="A1" s="188"/>
      <c r="B1" s="188" t="str">
        <f>TestYear &amp; " Test Year"</f>
        <v>2015 Test Year</v>
      </c>
      <c r="C1" s="189"/>
      <c r="D1" s="189"/>
      <c r="E1" s="189"/>
      <c r="F1" s="189"/>
      <c r="G1" s="189"/>
      <c r="H1" s="189"/>
      <c r="I1" s="189"/>
      <c r="J1" s="189"/>
      <c r="K1" s="190" t="s">
        <v>771</v>
      </c>
      <c r="L1" s="191"/>
      <c r="M1" s="191"/>
      <c r="N1" s="191"/>
      <c r="O1" s="191"/>
      <c r="P1" s="1471"/>
      <c r="Q1" s="1471"/>
      <c r="R1" s="1471"/>
    </row>
    <row r="2" spans="1:18" s="192" customFormat="1">
      <c r="A2" s="193"/>
      <c r="B2" s="193"/>
      <c r="C2" s="2068" t="str">
        <f>Utility</f>
        <v>MADISON WATER UTILITY</v>
      </c>
      <c r="D2" s="2069"/>
      <c r="E2" s="2069"/>
      <c r="F2" s="2069"/>
      <c r="G2" s="2069"/>
      <c r="H2" s="2069"/>
      <c r="I2" s="2069"/>
      <c r="J2" s="2069"/>
      <c r="K2" s="191"/>
      <c r="L2" s="191"/>
      <c r="M2" s="191"/>
      <c r="N2" s="191"/>
      <c r="O2" s="191"/>
      <c r="P2" s="1471"/>
      <c r="Q2" s="1471"/>
      <c r="R2" s="1471"/>
    </row>
    <row r="3" spans="1:18" s="192" customFormat="1">
      <c r="A3" s="194"/>
      <c r="B3" s="194"/>
      <c r="C3" s="195"/>
      <c r="D3" s="196"/>
      <c r="E3" s="196"/>
      <c r="F3" s="196"/>
      <c r="G3" s="196"/>
      <c r="H3" s="196"/>
      <c r="I3" s="196"/>
      <c r="J3" s="196"/>
      <c r="K3" s="191"/>
      <c r="L3" s="191"/>
      <c r="M3" s="191"/>
      <c r="N3" s="191"/>
      <c r="O3" s="191"/>
      <c r="P3" s="1471"/>
      <c r="Q3" s="1471"/>
      <c r="R3" s="1471"/>
    </row>
    <row r="4" spans="1:18" s="192" customFormat="1">
      <c r="A4" s="197"/>
      <c r="B4" s="197"/>
      <c r="C4" s="2070" t="s">
        <v>772</v>
      </c>
      <c r="D4" s="2071"/>
      <c r="E4" s="2071"/>
      <c r="F4" s="2071"/>
      <c r="G4" s="2071"/>
      <c r="H4" s="2071"/>
      <c r="I4" s="2071"/>
      <c r="J4" s="2071"/>
      <c r="K4" s="194"/>
      <c r="L4" s="191"/>
      <c r="M4" s="191"/>
      <c r="N4" s="191"/>
      <c r="O4" s="191"/>
      <c r="P4" s="1471"/>
      <c r="Q4" s="1471"/>
      <c r="R4" s="1471"/>
    </row>
    <row r="5" spans="1:18" s="192" customFormat="1">
      <c r="A5" s="198"/>
      <c r="B5" s="198"/>
      <c r="C5" s="2072" t="str">
        <f>CONCATENATE("Test Year ",TestYear)</f>
        <v>Test Year 2015</v>
      </c>
      <c r="D5" s="2073"/>
      <c r="E5" s="2073"/>
      <c r="F5" s="2073"/>
      <c r="G5" s="2073"/>
      <c r="H5" s="2073"/>
      <c r="I5" s="2073"/>
      <c r="J5" s="2073"/>
      <c r="K5" s="194"/>
      <c r="L5" s="191"/>
      <c r="M5" s="191"/>
      <c r="N5" s="191"/>
      <c r="O5" s="191"/>
      <c r="P5" s="1471"/>
      <c r="Q5" s="1471"/>
      <c r="R5" s="1471"/>
    </row>
    <row r="6" spans="1:18" ht="13.5" thickBot="1">
      <c r="A6" s="203"/>
      <c r="B6" s="203"/>
      <c r="C6" s="203"/>
      <c r="D6" s="203"/>
      <c r="E6" s="203"/>
      <c r="F6" s="203"/>
      <c r="G6" s="203"/>
      <c r="H6" s="203"/>
      <c r="I6" s="203"/>
      <c r="J6" s="203"/>
      <c r="K6" s="203"/>
      <c r="L6" s="199"/>
      <c r="M6" s="199"/>
      <c r="N6" s="199"/>
      <c r="O6" s="199"/>
    </row>
    <row r="7" spans="1:18" ht="13.5" thickTop="1">
      <c r="A7" s="203"/>
      <c r="B7" s="263"/>
      <c r="C7" s="236"/>
      <c r="D7" s="236"/>
      <c r="E7" s="236"/>
      <c r="F7" s="236"/>
      <c r="G7" s="236"/>
      <c r="H7" s="236"/>
      <c r="I7" s="236"/>
      <c r="J7" s="236"/>
      <c r="K7" s="236"/>
      <c r="L7" s="237"/>
      <c r="M7" s="199"/>
      <c r="N7" s="199"/>
      <c r="O7" s="199"/>
    </row>
    <row r="8" spans="1:18">
      <c r="A8" s="208"/>
      <c r="B8" s="242" t="s">
        <v>334</v>
      </c>
      <c r="C8" s="2074" t="s">
        <v>942</v>
      </c>
      <c r="D8" s="2075"/>
      <c r="E8" s="2075"/>
      <c r="F8" s="2075"/>
      <c r="G8" s="2075"/>
      <c r="H8" s="2075"/>
      <c r="I8" s="2075"/>
      <c r="J8" s="2075"/>
      <c r="K8" s="2075"/>
      <c r="L8" s="239"/>
      <c r="M8" s="199"/>
      <c r="N8" s="199"/>
      <c r="O8" s="199"/>
    </row>
    <row r="9" spans="1:18">
      <c r="A9" s="203"/>
      <c r="B9" s="240"/>
      <c r="C9" s="2075"/>
      <c r="D9" s="2075"/>
      <c r="E9" s="2075"/>
      <c r="F9" s="2075"/>
      <c r="G9" s="2075"/>
      <c r="H9" s="2075"/>
      <c r="I9" s="2075"/>
      <c r="J9" s="2075"/>
      <c r="K9" s="2075"/>
      <c r="L9" s="239"/>
      <c r="M9" s="199"/>
      <c r="N9" s="199"/>
      <c r="O9" s="199"/>
    </row>
    <row r="10" spans="1:18">
      <c r="A10" s="203"/>
      <c r="B10" s="240"/>
      <c r="C10" s="2075"/>
      <c r="D10" s="2075"/>
      <c r="E10" s="2075"/>
      <c r="F10" s="2075"/>
      <c r="G10" s="2075"/>
      <c r="H10" s="2075"/>
      <c r="I10" s="2075"/>
      <c r="J10" s="2075"/>
      <c r="K10" s="2075"/>
      <c r="L10" s="239"/>
      <c r="M10" s="199"/>
      <c r="N10" s="199"/>
      <c r="O10" s="199"/>
    </row>
    <row r="11" spans="1:18">
      <c r="A11" s="203"/>
      <c r="B11" s="240"/>
      <c r="C11" s="210"/>
      <c r="D11" s="211"/>
      <c r="E11" s="212"/>
      <c r="F11" s="2064" t="s">
        <v>773</v>
      </c>
      <c r="G11" s="2064"/>
      <c r="H11" s="2064" t="s">
        <v>774</v>
      </c>
      <c r="I11" s="2064"/>
      <c r="J11" s="209"/>
      <c r="K11" s="212"/>
      <c r="L11" s="239"/>
      <c r="M11" s="199"/>
      <c r="N11" s="199"/>
      <c r="O11" s="199"/>
    </row>
    <row r="12" spans="1:18">
      <c r="A12" s="203"/>
      <c r="B12" s="240"/>
      <c r="C12" s="209"/>
      <c r="D12" s="209"/>
      <c r="E12" s="209"/>
      <c r="F12" s="1158" t="s">
        <v>254</v>
      </c>
      <c r="G12" s="1158" t="s">
        <v>254</v>
      </c>
      <c r="H12" s="1158" t="s">
        <v>254</v>
      </c>
      <c r="I12" s="1158" t="s">
        <v>254</v>
      </c>
      <c r="J12" s="1158" t="s">
        <v>775</v>
      </c>
      <c r="K12" s="213"/>
      <c r="L12" s="289"/>
      <c r="M12" s="202"/>
      <c r="N12" s="199"/>
      <c r="O12" s="199"/>
    </row>
    <row r="13" spans="1:18">
      <c r="A13" s="203"/>
      <c r="B13" s="240"/>
      <c r="C13" s="209"/>
      <c r="D13" s="209"/>
      <c r="E13" s="214" t="s">
        <v>6</v>
      </c>
      <c r="F13" s="1158" t="s">
        <v>776</v>
      </c>
      <c r="G13" s="1158" t="s">
        <v>777</v>
      </c>
      <c r="H13" s="1158" t="s">
        <v>776</v>
      </c>
      <c r="I13" s="1158" t="s">
        <v>777</v>
      </c>
      <c r="J13" s="1158" t="s">
        <v>254</v>
      </c>
      <c r="K13" s="209"/>
      <c r="L13" s="239"/>
      <c r="M13" s="199"/>
      <c r="N13" s="199"/>
      <c r="O13" s="199"/>
    </row>
    <row r="14" spans="1:18">
      <c r="A14" s="203"/>
      <c r="B14" s="240"/>
      <c r="C14" s="210" t="s">
        <v>780</v>
      </c>
      <c r="D14" s="209"/>
      <c r="E14" s="215">
        <f>TestYear-1</f>
        <v>2014</v>
      </c>
      <c r="F14" s="219">
        <f>ROUND(Attach11!E62/108,0)</f>
        <v>97195</v>
      </c>
      <c r="G14" s="220">
        <f>ROUND(Attach11!F62/4,0)</f>
        <v>37333</v>
      </c>
      <c r="H14" s="219">
        <f>ROUND(Attach11a!E65/108,0)</f>
        <v>9677</v>
      </c>
      <c r="I14" s="220">
        <f>ROUND(Attach11a!F65/4,0)</f>
        <v>59486</v>
      </c>
      <c r="J14" s="252">
        <f>F14-G14+H14-I14</f>
        <v>10053</v>
      </c>
      <c r="K14" s="209"/>
      <c r="L14" s="239"/>
      <c r="M14" s="199"/>
      <c r="N14" s="199"/>
      <c r="O14" s="199"/>
    </row>
    <row r="15" spans="1:18">
      <c r="A15" s="203"/>
      <c r="B15" s="240"/>
      <c r="C15" s="210" t="s">
        <v>781</v>
      </c>
      <c r="D15" s="209"/>
      <c r="E15" s="215">
        <f>TestYear</f>
        <v>2015</v>
      </c>
      <c r="F15" s="219">
        <f>ROUND(Attach11!K62/108,0)</f>
        <v>60452</v>
      </c>
      <c r="G15" s="220">
        <f>ROUND(Attach11!L62/4,0)</f>
        <v>12876</v>
      </c>
      <c r="H15" s="219">
        <f>ROUND(Attach11a!K65/108,0)</f>
        <v>9677</v>
      </c>
      <c r="I15" s="220">
        <f>ROUND(Attach11a!L65/4,0)</f>
        <v>20516</v>
      </c>
      <c r="J15" s="252">
        <f>F15-G15+H15-I15</f>
        <v>36737</v>
      </c>
      <c r="K15" s="209"/>
      <c r="L15" s="239"/>
      <c r="M15" s="199"/>
      <c r="N15" s="199"/>
      <c r="O15" s="199"/>
    </row>
    <row r="16" spans="1:18">
      <c r="A16" s="203"/>
      <c r="B16" s="240"/>
      <c r="C16" s="210" t="s">
        <v>782</v>
      </c>
      <c r="D16" s="209"/>
      <c r="E16" s="215">
        <f>TestYear</f>
        <v>2015</v>
      </c>
      <c r="F16" s="219">
        <v>0</v>
      </c>
      <c r="G16" s="220">
        <v>0</v>
      </c>
      <c r="H16" s="219">
        <v>0</v>
      </c>
      <c r="I16" s="220">
        <v>0</v>
      </c>
      <c r="J16" s="252">
        <f>F16-G16+H16-I16</f>
        <v>0</v>
      </c>
      <c r="K16" s="209"/>
      <c r="L16" s="239"/>
      <c r="M16" s="199"/>
      <c r="N16" s="199"/>
      <c r="O16" s="199"/>
    </row>
    <row r="17" spans="1:15">
      <c r="A17" s="203"/>
      <c r="B17" s="240"/>
      <c r="C17" s="210"/>
      <c r="D17" s="209"/>
      <c r="E17" s="215"/>
      <c r="F17" s="216"/>
      <c r="G17" s="209"/>
      <c r="H17" s="216"/>
      <c r="I17" s="209"/>
      <c r="J17" s="217"/>
      <c r="K17" s="209"/>
      <c r="L17" s="239"/>
      <c r="M17" s="199"/>
      <c r="N17" s="199"/>
      <c r="O17" s="199"/>
    </row>
    <row r="18" spans="1:15">
      <c r="A18" s="203"/>
      <c r="B18" s="240"/>
      <c r="C18" s="210" t="s">
        <v>338</v>
      </c>
      <c r="D18" s="209"/>
      <c r="E18" s="215">
        <f>TestYear-1</f>
        <v>2014</v>
      </c>
      <c r="F18" s="219">
        <f>ROUND(Attach11!E65/5000,0)</f>
        <v>248</v>
      </c>
      <c r="G18" s="221">
        <f>ROUND(Attach11!F65/750,0)</f>
        <v>58</v>
      </c>
      <c r="H18" s="219">
        <f>ROUND(Attach11a!E68/5000,0)</f>
        <v>24</v>
      </c>
      <c r="I18" s="221">
        <f>ROUND(Attach11a!F68/750,0)</f>
        <v>95</v>
      </c>
      <c r="J18" s="252">
        <f>F18-G18+H18-I18</f>
        <v>119</v>
      </c>
      <c r="K18" s="209"/>
      <c r="L18" s="239"/>
      <c r="M18" s="199"/>
      <c r="N18" s="199"/>
      <c r="O18" s="199"/>
    </row>
    <row r="19" spans="1:15">
      <c r="A19" s="203"/>
      <c r="B19" s="240"/>
      <c r="C19" s="210" t="s">
        <v>783</v>
      </c>
      <c r="D19" s="209"/>
      <c r="E19" s="215">
        <f>TestYear</f>
        <v>2015</v>
      </c>
      <c r="F19" s="219">
        <f>ROUND(Attach11!K65/5000,0)</f>
        <v>69</v>
      </c>
      <c r="G19" s="221">
        <f>ROUND(Attach11!L65/750,0)</f>
        <v>20</v>
      </c>
      <c r="H19" s="219">
        <f>ROUND(Attach11a!K68/5000,0)</f>
        <v>24</v>
      </c>
      <c r="I19" s="221">
        <f>ROUND(Attach11a!L68/750,0)</f>
        <v>33</v>
      </c>
      <c r="J19" s="252">
        <f>F19-G19+H19-I19</f>
        <v>40</v>
      </c>
      <c r="K19" s="209"/>
      <c r="L19" s="239"/>
      <c r="M19" s="199"/>
      <c r="N19" s="199"/>
      <c r="O19" s="199"/>
    </row>
    <row r="20" spans="1:15">
      <c r="A20" s="203"/>
      <c r="B20" s="240"/>
      <c r="C20" s="210" t="s">
        <v>784</v>
      </c>
      <c r="D20" s="209"/>
      <c r="E20" s="215">
        <f>TestYear</f>
        <v>2015</v>
      </c>
      <c r="F20" s="219">
        <v>0</v>
      </c>
      <c r="G20" s="221">
        <v>0</v>
      </c>
      <c r="H20" s="219">
        <v>0</v>
      </c>
      <c r="I20" s="221">
        <v>0</v>
      </c>
      <c r="J20" s="252">
        <f>F20-G20+H20-I20</f>
        <v>0</v>
      </c>
      <c r="K20" s="209"/>
      <c r="L20" s="239"/>
      <c r="M20" s="203"/>
      <c r="N20" s="199"/>
      <c r="O20" s="199"/>
    </row>
    <row r="21" spans="1:15" ht="13.5" thickBot="1">
      <c r="A21" s="203"/>
      <c r="B21" s="249"/>
      <c r="C21" s="290"/>
      <c r="D21" s="250"/>
      <c r="E21" s="291"/>
      <c r="F21" s="292"/>
      <c r="G21" s="250"/>
      <c r="H21" s="293"/>
      <c r="I21" s="250"/>
      <c r="J21" s="250"/>
      <c r="K21" s="250"/>
      <c r="L21" s="251"/>
      <c r="M21" s="199"/>
      <c r="N21" s="199"/>
      <c r="O21" s="199"/>
    </row>
    <row r="22" spans="1:15" ht="13.5" thickTop="1">
      <c r="A22" s="208"/>
      <c r="B22" s="200"/>
      <c r="C22" s="199"/>
      <c r="D22" s="199"/>
      <c r="E22" s="199"/>
      <c r="F22" s="199"/>
      <c r="G22" s="199"/>
      <c r="H22" s="199"/>
      <c r="I22" s="199"/>
      <c r="J22" s="199"/>
      <c r="K22" s="199"/>
      <c r="L22" s="199"/>
      <c r="M22" s="199"/>
      <c r="N22" s="199"/>
      <c r="O22" s="199"/>
    </row>
    <row r="23" spans="1:15" ht="13.5" thickBot="1">
      <c r="A23" s="208"/>
      <c r="B23" s="200"/>
      <c r="C23" s="199"/>
      <c r="D23" s="199"/>
      <c r="E23" s="199"/>
      <c r="F23" s="199"/>
      <c r="G23" s="199"/>
      <c r="H23" s="199"/>
      <c r="I23" s="199"/>
      <c r="J23" s="199"/>
      <c r="K23" s="199"/>
      <c r="L23" s="199"/>
      <c r="M23" s="199"/>
      <c r="N23" s="199"/>
      <c r="O23" s="199"/>
    </row>
    <row r="24" spans="1:15" ht="13.5" thickTop="1">
      <c r="A24" s="208"/>
      <c r="B24" s="235"/>
      <c r="C24" s="236"/>
      <c r="D24" s="236"/>
      <c r="E24" s="236"/>
      <c r="F24" s="236"/>
      <c r="G24" s="236"/>
      <c r="H24" s="236"/>
      <c r="I24" s="236"/>
      <c r="J24" s="236"/>
      <c r="K24" s="236"/>
      <c r="L24" s="237"/>
      <c r="M24" s="199"/>
      <c r="N24" s="199"/>
      <c r="O24" s="199"/>
    </row>
    <row r="25" spans="1:15">
      <c r="A25" s="208"/>
      <c r="B25" s="238" t="s">
        <v>944</v>
      </c>
      <c r="C25" s="209"/>
      <c r="D25" s="209"/>
      <c r="E25" s="209"/>
      <c r="F25" s="209"/>
      <c r="G25" s="209"/>
      <c r="H25" s="209"/>
      <c r="I25" s="209"/>
      <c r="J25" s="209"/>
      <c r="K25" s="209"/>
      <c r="L25" s="239"/>
      <c r="M25" s="199"/>
      <c r="N25" s="199"/>
      <c r="O25" s="199"/>
    </row>
    <row r="26" spans="1:15" ht="18" customHeight="1">
      <c r="A26" s="208"/>
      <c r="B26" s="240"/>
      <c r="C26" s="230" t="s">
        <v>785</v>
      </c>
      <c r="D26" s="209"/>
      <c r="E26" s="209"/>
      <c r="F26" s="209"/>
      <c r="G26" s="209"/>
      <c r="H26" s="209"/>
      <c r="I26" s="209"/>
      <c r="J26" s="209"/>
      <c r="K26" s="209"/>
      <c r="L26" s="239"/>
      <c r="M26" s="199"/>
      <c r="N26" s="199"/>
      <c r="O26" s="199"/>
    </row>
    <row r="27" spans="1:15" ht="15" customHeight="1">
      <c r="A27" s="203"/>
      <c r="B27" s="240"/>
      <c r="C27" s="2087" t="s">
        <v>1118</v>
      </c>
      <c r="D27" s="2088"/>
      <c r="E27" s="2088"/>
      <c r="F27" s="2088"/>
      <c r="G27" s="2088"/>
      <c r="H27" s="2088"/>
      <c r="I27" s="2088"/>
      <c r="J27" s="2089"/>
      <c r="K27" s="209"/>
      <c r="L27" s="239"/>
      <c r="M27" s="199"/>
      <c r="N27" s="199"/>
      <c r="O27" s="199"/>
    </row>
    <row r="28" spans="1:15">
      <c r="A28" s="203"/>
      <c r="B28" s="240"/>
      <c r="C28" s="214"/>
      <c r="D28" s="209"/>
      <c r="E28" s="209"/>
      <c r="F28" s="209"/>
      <c r="G28" s="209"/>
      <c r="H28" s="209"/>
      <c r="I28" s="209"/>
      <c r="J28" s="209"/>
      <c r="K28" s="209"/>
      <c r="L28" s="239"/>
      <c r="M28" s="199"/>
      <c r="N28" s="199"/>
      <c r="O28" s="199"/>
    </row>
    <row r="29" spans="1:15" ht="12.75" customHeight="1">
      <c r="A29" s="203"/>
      <c r="B29" s="240"/>
      <c r="C29" s="209"/>
      <c r="D29" s="209"/>
      <c r="E29" s="2065" t="str">
        <f>IF(ISERROR(SEARCH("residential",WaterService))," ","Average Cost:")</f>
        <v xml:space="preserve"> </v>
      </c>
      <c r="F29" s="2065"/>
      <c r="G29" s="230"/>
      <c r="H29" s="209"/>
      <c r="I29" s="209"/>
      <c r="J29" s="209"/>
      <c r="K29" s="209"/>
      <c r="L29" s="239"/>
      <c r="M29" s="199"/>
      <c r="N29" s="199"/>
      <c r="O29" s="199"/>
    </row>
    <row r="30" spans="1:15">
      <c r="A30" s="203"/>
      <c r="B30" s="241" t="s">
        <v>943</v>
      </c>
      <c r="C30" s="225"/>
      <c r="D30" s="209"/>
      <c r="E30" s="209"/>
      <c r="F30" s="209"/>
      <c r="G30" s="209"/>
      <c r="H30" s="209"/>
      <c r="I30" s="209"/>
      <c r="J30" s="209"/>
      <c r="K30" s="209"/>
      <c r="L30" s="239"/>
      <c r="M30" s="199"/>
      <c r="N30" s="199"/>
      <c r="O30" s="199"/>
    </row>
    <row r="31" spans="1:15" ht="58.5" customHeight="1">
      <c r="A31" s="203"/>
      <c r="B31" s="240"/>
      <c r="C31" s="2090" t="s">
        <v>955</v>
      </c>
      <c r="D31" s="2090"/>
      <c r="E31" s="2090"/>
      <c r="F31" s="2090"/>
      <c r="G31" s="2090"/>
      <c r="H31" s="2090"/>
      <c r="I31" s="2090"/>
      <c r="J31" s="2090"/>
      <c r="K31" s="223"/>
      <c r="L31" s="239"/>
      <c r="M31" s="199"/>
      <c r="N31" s="199"/>
      <c r="O31" s="199"/>
    </row>
    <row r="32" spans="1:15">
      <c r="A32" s="203"/>
      <c r="B32" s="240"/>
      <c r="C32" s="2087" t="s">
        <v>1317</v>
      </c>
      <c r="D32" s="2089"/>
      <c r="E32" s="223"/>
      <c r="F32" s="223"/>
      <c r="G32" s="223"/>
      <c r="H32" s="223"/>
      <c r="I32" s="223"/>
      <c r="J32" s="223"/>
      <c r="K32" s="223"/>
      <c r="L32" s="239"/>
      <c r="M32" s="199"/>
      <c r="N32" s="199"/>
      <c r="O32" s="199"/>
    </row>
    <row r="33" spans="1:15">
      <c r="A33" s="203"/>
      <c r="B33" s="240"/>
      <c r="C33" s="209"/>
      <c r="D33" s="210"/>
      <c r="E33" s="209"/>
      <c r="F33" s="222"/>
      <c r="G33" s="209"/>
      <c r="H33" s="209"/>
      <c r="I33" s="209"/>
      <c r="J33" s="209"/>
      <c r="K33" s="209"/>
      <c r="L33" s="239"/>
      <c r="M33" s="199"/>
      <c r="N33" s="199"/>
      <c r="O33" s="199"/>
    </row>
    <row r="34" spans="1:15">
      <c r="A34" s="203"/>
      <c r="B34" s="238" t="s">
        <v>945</v>
      </c>
      <c r="C34" s="227"/>
      <c r="D34" s="209"/>
      <c r="E34" s="209"/>
      <c r="F34" s="209"/>
      <c r="G34" s="209"/>
      <c r="H34" s="209"/>
      <c r="I34" s="209"/>
      <c r="J34" s="209"/>
      <c r="K34" s="209"/>
      <c r="L34" s="239"/>
      <c r="M34" s="199"/>
      <c r="N34" s="199"/>
      <c r="O34" s="199"/>
    </row>
    <row r="35" spans="1:15" ht="12.75" customHeight="1">
      <c r="A35" s="208"/>
      <c r="B35" s="242"/>
      <c r="C35" s="209"/>
      <c r="D35" s="231"/>
      <c r="E35" s="231"/>
      <c r="F35" s="231"/>
      <c r="G35" s="231"/>
      <c r="H35" s="231"/>
      <c r="I35" s="231"/>
      <c r="J35" s="231"/>
      <c r="K35" s="231"/>
      <c r="L35" s="239"/>
      <c r="M35" s="199"/>
      <c r="N35" s="199"/>
      <c r="O35" s="199"/>
    </row>
    <row r="36" spans="1:15">
      <c r="A36" s="203"/>
      <c r="B36" s="240"/>
      <c r="C36" s="243" t="s">
        <v>946</v>
      </c>
      <c r="D36" s="231"/>
      <c r="E36" s="231"/>
      <c r="F36" s="233" t="s">
        <v>1284</v>
      </c>
      <c r="G36" s="231"/>
      <c r="H36" s="244" t="str">
        <f>IF(NSF="Yes","Amount:"," ")</f>
        <v>Amount:</v>
      </c>
      <c r="I36" s="1478">
        <v>25</v>
      </c>
      <c r="J36" s="209"/>
      <c r="K36" s="231"/>
      <c r="L36" s="239"/>
      <c r="M36" s="199"/>
      <c r="N36" s="199"/>
      <c r="O36" s="199"/>
    </row>
    <row r="37" spans="1:15">
      <c r="A37" s="203"/>
      <c r="B37" s="240"/>
      <c r="C37" s="231"/>
      <c r="D37" s="245" t="str">
        <f>IF(NSF="Yes","Is the Utility also regulated for electric and/or sewer rates?"," ")</f>
        <v>Is the Utility also regulated for electric and/or sewer rates?</v>
      </c>
      <c r="E37" s="209"/>
      <c r="F37" s="244"/>
      <c r="G37" s="244"/>
      <c r="H37" s="244"/>
      <c r="I37" s="2077" t="s">
        <v>1318</v>
      </c>
      <c r="J37" s="2077"/>
      <c r="K37" s="231"/>
      <c r="L37" s="239"/>
      <c r="M37" s="199"/>
      <c r="N37" s="199"/>
      <c r="O37" s="199"/>
    </row>
    <row r="38" spans="1:15" ht="12.75" customHeight="1">
      <c r="A38" s="203"/>
      <c r="B38" s="240"/>
      <c r="C38" s="231"/>
      <c r="D38" s="245" t="str">
        <f>IF(NSF="Yes","Amount charged by your financial institution:"," ")</f>
        <v>Amount charged by your financial institution:</v>
      </c>
      <c r="E38" s="209"/>
      <c r="F38" s="209"/>
      <c r="G38" s="209"/>
      <c r="H38" s="209"/>
      <c r="I38" s="1608">
        <v>10</v>
      </c>
      <c r="J38" s="231"/>
      <c r="K38" s="231"/>
      <c r="L38" s="239"/>
      <c r="M38" s="199"/>
      <c r="N38" s="199"/>
      <c r="O38" s="199"/>
    </row>
    <row r="39" spans="1:15">
      <c r="A39" s="203"/>
      <c r="B39" s="240"/>
      <c r="C39" s="246" t="s">
        <v>947</v>
      </c>
      <c r="D39" s="247"/>
      <c r="E39" s="247"/>
      <c r="F39" s="233" t="s">
        <v>1284</v>
      </c>
      <c r="G39" s="247"/>
      <c r="H39" s="244" t="str">
        <f>IF(SpecialBilling="Yes","Amount:"," ")</f>
        <v>Amount:</v>
      </c>
      <c r="I39" s="1478"/>
      <c r="J39" s="247"/>
      <c r="K39" s="247"/>
      <c r="L39" s="239"/>
      <c r="M39" s="199"/>
      <c r="N39" s="199"/>
      <c r="O39" s="199"/>
    </row>
    <row r="40" spans="1:15">
      <c r="A40" s="203"/>
      <c r="B40" s="240"/>
      <c r="C40" s="224" t="s">
        <v>948</v>
      </c>
      <c r="D40" s="213"/>
      <c r="E40" s="209"/>
      <c r="F40" s="233" t="s">
        <v>1284</v>
      </c>
      <c r="G40" s="209"/>
      <c r="H40" s="244" t="str">
        <f>IF(SpecialMeterReading="Yes","Amount:"," ")</f>
        <v>Amount:</v>
      </c>
      <c r="I40" s="1478"/>
      <c r="J40" s="209"/>
      <c r="K40" s="209"/>
      <c r="L40" s="239"/>
      <c r="M40" s="199"/>
      <c r="N40" s="199"/>
      <c r="O40" s="199"/>
    </row>
    <row r="41" spans="1:15" ht="12" customHeight="1">
      <c r="A41" s="203"/>
      <c r="B41" s="248"/>
      <c r="C41" s="224" t="s">
        <v>949</v>
      </c>
      <c r="D41" s="209"/>
      <c r="E41" s="209"/>
      <c r="F41" s="233" t="s">
        <v>1284</v>
      </c>
      <c r="G41" s="209"/>
      <c r="H41" s="244" t="str">
        <f>IF(MissedAppt="Yes","Normal:"," ")</f>
        <v>Normal:</v>
      </c>
      <c r="I41" s="1478"/>
      <c r="J41" s="245" t="str">
        <f>IF(MissedAppt="Yes","After Hours:"," ")</f>
        <v>After Hours:</v>
      </c>
      <c r="K41" s="1478"/>
      <c r="L41" s="239"/>
      <c r="M41" s="199"/>
      <c r="N41" s="199"/>
      <c r="O41" s="199"/>
    </row>
    <row r="42" spans="1:15">
      <c r="A42" s="203"/>
      <c r="B42" s="240"/>
      <c r="C42" s="224" t="s">
        <v>950</v>
      </c>
      <c r="D42" s="209"/>
      <c r="E42" s="209"/>
      <c r="F42" s="233" t="s">
        <v>1284</v>
      </c>
      <c r="G42" s="209"/>
      <c r="H42" s="244" t="str">
        <f>IF(RealEstateClosing="Yes","Amount:"," ")</f>
        <v>Amount:</v>
      </c>
      <c r="I42" s="1478"/>
      <c r="J42" s="209"/>
      <c r="K42" s="209"/>
      <c r="L42" s="239"/>
      <c r="M42" s="199"/>
      <c r="N42" s="199"/>
      <c r="O42" s="199"/>
    </row>
    <row r="43" spans="1:15">
      <c r="A43" s="203"/>
      <c r="B43" s="240"/>
      <c r="C43" s="234" t="s">
        <v>692</v>
      </c>
      <c r="D43" s="209"/>
      <c r="E43" s="209"/>
      <c r="F43" s="233" t="s">
        <v>1284</v>
      </c>
      <c r="G43" s="209"/>
      <c r="H43" s="2064" t="str">
        <f>IF(OtherFees="Yes","Please explain"," ")</f>
        <v>Please explain</v>
      </c>
      <c r="I43" s="2064"/>
      <c r="J43" s="2064"/>
      <c r="K43" s="2064"/>
      <c r="L43" s="239"/>
      <c r="M43" s="199"/>
      <c r="N43" s="199"/>
      <c r="O43" s="199"/>
    </row>
    <row r="44" spans="1:15">
      <c r="A44" s="203"/>
      <c r="B44" s="240"/>
      <c r="C44" s="232"/>
      <c r="D44" s="209"/>
      <c r="E44" s="209"/>
      <c r="F44" s="209"/>
      <c r="G44" s="209"/>
      <c r="H44" s="209"/>
      <c r="I44" s="209"/>
      <c r="J44" s="209"/>
      <c r="K44" s="209"/>
      <c r="L44" s="239"/>
      <c r="M44" s="199"/>
      <c r="N44" s="199"/>
      <c r="O44" s="199"/>
    </row>
    <row r="45" spans="1:15">
      <c r="A45" s="203"/>
      <c r="B45" s="238" t="s">
        <v>951</v>
      </c>
      <c r="C45" s="232"/>
      <c r="D45" s="209"/>
      <c r="E45" s="209"/>
      <c r="F45" s="209"/>
      <c r="G45" s="209"/>
      <c r="H45" s="209"/>
      <c r="I45" s="209"/>
      <c r="J45" s="209"/>
      <c r="K45" s="209"/>
      <c r="L45" s="239"/>
      <c r="M45" s="199"/>
      <c r="N45" s="199"/>
      <c r="O45" s="199"/>
    </row>
    <row r="46" spans="1:15">
      <c r="A46" s="203"/>
      <c r="B46" s="240"/>
      <c r="C46" s="209" t="s">
        <v>952</v>
      </c>
      <c r="D46" s="209"/>
      <c r="E46" s="209"/>
      <c r="F46" s="1479">
        <v>50</v>
      </c>
      <c r="G46" s="209"/>
      <c r="H46" s="209"/>
      <c r="I46" s="209"/>
      <c r="J46" s="209"/>
      <c r="K46" s="209"/>
      <c r="L46" s="239"/>
      <c r="M46" s="199"/>
      <c r="N46" s="199"/>
      <c r="O46" s="199"/>
    </row>
    <row r="47" spans="1:15" ht="12.75" customHeight="1">
      <c r="A47" s="208"/>
      <c r="B47" s="240"/>
      <c r="C47" s="209" t="s">
        <v>953</v>
      </c>
      <c r="D47" s="209"/>
      <c r="E47" s="209"/>
      <c r="F47" s="1479">
        <v>70</v>
      </c>
      <c r="G47" s="209"/>
      <c r="H47" s="209"/>
      <c r="I47" s="209"/>
      <c r="J47" s="209"/>
      <c r="K47" s="209"/>
      <c r="L47" s="239"/>
      <c r="M47" s="199"/>
      <c r="N47" s="199"/>
      <c r="O47" s="199"/>
    </row>
    <row r="48" spans="1:15">
      <c r="A48" s="203"/>
      <c r="B48" s="240"/>
      <c r="C48" s="209"/>
      <c r="D48" s="209"/>
      <c r="E48" s="209"/>
      <c r="F48" s="209"/>
      <c r="G48" s="209"/>
      <c r="H48" s="209"/>
      <c r="I48" s="209"/>
      <c r="J48" s="209"/>
      <c r="K48" s="209"/>
      <c r="L48" s="239"/>
      <c r="M48" s="199"/>
      <c r="N48" s="199"/>
      <c r="O48" s="199"/>
    </row>
    <row r="49" spans="1:15" ht="13.5" thickBot="1">
      <c r="A49" s="204"/>
      <c r="B49" s="249"/>
      <c r="C49" s="250"/>
      <c r="D49" s="250"/>
      <c r="E49" s="250"/>
      <c r="F49" s="250"/>
      <c r="G49" s="250"/>
      <c r="H49" s="250"/>
      <c r="I49" s="250"/>
      <c r="J49" s="250"/>
      <c r="K49" s="250"/>
      <c r="L49" s="251"/>
      <c r="M49" s="199"/>
      <c r="N49" s="199"/>
      <c r="O49" s="199"/>
    </row>
    <row r="50" spans="1:15" ht="13.5" thickTop="1">
      <c r="A50" s="204"/>
      <c r="B50" s="203"/>
      <c r="C50" s="203"/>
      <c r="D50" s="203"/>
      <c r="E50" s="203"/>
      <c r="F50" s="203"/>
      <c r="G50" s="203"/>
      <c r="H50" s="203"/>
      <c r="I50" s="203"/>
      <c r="J50" s="203"/>
      <c r="K50" s="203"/>
      <c r="L50" s="199"/>
      <c r="M50" s="199"/>
      <c r="N50" s="199"/>
      <c r="O50" s="199"/>
    </row>
    <row r="51" spans="1:15" ht="13.5" thickBot="1">
      <c r="A51" s="204"/>
      <c r="B51" s="203"/>
      <c r="C51" s="203"/>
      <c r="D51" s="203"/>
      <c r="E51" s="203"/>
      <c r="F51" s="203"/>
      <c r="G51" s="203"/>
      <c r="H51" s="203"/>
      <c r="I51" s="203"/>
      <c r="J51" s="203"/>
      <c r="K51" s="203"/>
      <c r="L51" s="199"/>
      <c r="M51" s="199"/>
      <c r="N51" s="199"/>
      <c r="O51" s="199"/>
    </row>
    <row r="52" spans="1:15" ht="13.5" thickTop="1">
      <c r="A52" s="204"/>
      <c r="B52" s="263"/>
      <c r="C52" s="236"/>
      <c r="D52" s="236"/>
      <c r="E52" s="236"/>
      <c r="F52" s="236"/>
      <c r="G52" s="236"/>
      <c r="H52" s="236"/>
      <c r="I52" s="236"/>
      <c r="J52" s="236"/>
      <c r="K52" s="236"/>
      <c r="L52" s="237"/>
      <c r="M52" s="199"/>
      <c r="N52" s="199"/>
      <c r="O52" s="199"/>
    </row>
    <row r="53" spans="1:15">
      <c r="A53" s="204"/>
      <c r="B53" s="238" t="s">
        <v>954</v>
      </c>
      <c r="C53" s="209"/>
      <c r="D53" s="209"/>
      <c r="E53" s="209"/>
      <c r="F53" s="209"/>
      <c r="G53" s="209"/>
      <c r="H53" s="209"/>
      <c r="I53" s="209"/>
      <c r="J53" s="209"/>
      <c r="K53" s="209"/>
      <c r="L53" s="239"/>
      <c r="M53" s="199"/>
      <c r="N53" s="199"/>
      <c r="O53" s="199"/>
    </row>
    <row r="54" spans="1:15" ht="12.75" customHeight="1">
      <c r="A54" s="204"/>
      <c r="B54" s="240"/>
      <c r="C54" s="209"/>
      <c r="D54" s="209"/>
      <c r="E54" s="209"/>
      <c r="F54" s="209"/>
      <c r="G54" s="209"/>
      <c r="H54" s="209"/>
      <c r="I54" s="209"/>
      <c r="J54" s="209"/>
      <c r="K54" s="209"/>
      <c r="L54" s="239"/>
      <c r="M54" s="199"/>
      <c r="N54" s="199"/>
      <c r="O54" s="199"/>
    </row>
    <row r="55" spans="1:15" ht="15" customHeight="1">
      <c r="A55" s="204"/>
      <c r="B55" s="264"/>
      <c r="C55" s="229" t="s">
        <v>1045</v>
      </c>
      <c r="D55" s="258"/>
      <c r="E55" s="257"/>
      <c r="F55" s="257"/>
      <c r="G55" s="257"/>
      <c r="H55" s="257"/>
      <c r="I55" s="257"/>
      <c r="J55" s="247"/>
      <c r="K55" s="228"/>
      <c r="L55" s="239"/>
      <c r="M55" s="199"/>
      <c r="N55" s="199"/>
      <c r="O55" s="199"/>
    </row>
    <row r="56" spans="1:15" ht="12.75" customHeight="1">
      <c r="A56" s="204"/>
      <c r="B56" s="264"/>
      <c r="C56" s="2066" t="s">
        <v>1299</v>
      </c>
      <c r="D56" s="2067"/>
      <c r="E56" s="257"/>
      <c r="F56" s="261" t="str">
        <f>IF(PFPCharge=""," ",IF(ISERROR(SEARCH("Municipal",PFPCharge)),"Method for calculating direct charges:"," "))</f>
        <v>Method for calculating direct charges:</v>
      </c>
      <c r="G56" s="257"/>
      <c r="H56" s="257"/>
      <c r="I56" s="257"/>
      <c r="J56" s="2076" t="s">
        <v>1319</v>
      </c>
      <c r="K56" s="2076"/>
      <c r="L56" s="239"/>
      <c r="M56" s="199"/>
      <c r="N56" s="199"/>
      <c r="O56" s="199"/>
    </row>
    <row r="57" spans="1:15">
      <c r="A57" s="204"/>
      <c r="B57" s="264"/>
      <c r="C57" s="258"/>
      <c r="D57" s="258"/>
      <c r="E57" s="258"/>
      <c r="F57" s="261" t="str">
        <f>IF(PFPCharge="Combination","Dollar amount or percentage as municipal charge:"," ")</f>
        <v xml:space="preserve"> </v>
      </c>
      <c r="G57" s="257"/>
      <c r="H57" s="257"/>
      <c r="I57" s="257"/>
      <c r="J57" s="222"/>
      <c r="K57" s="228"/>
      <c r="L57" s="239"/>
      <c r="M57" s="199"/>
      <c r="N57" s="199"/>
      <c r="O57" s="199"/>
    </row>
    <row r="58" spans="1:15">
      <c r="A58" s="204"/>
      <c r="B58" s="264"/>
      <c r="C58" s="247"/>
      <c r="D58" s="258"/>
      <c r="E58" s="258"/>
      <c r="F58" s="258"/>
      <c r="G58" s="257"/>
      <c r="H58" s="257"/>
      <c r="I58" s="257"/>
      <c r="J58" s="247"/>
      <c r="K58" s="228"/>
      <c r="L58" s="239"/>
      <c r="M58" s="199"/>
      <c r="N58" s="199"/>
      <c r="O58" s="199"/>
    </row>
    <row r="59" spans="1:15">
      <c r="A59" s="204"/>
      <c r="B59" s="264"/>
      <c r="C59" s="262" t="str">
        <f>IF(PFPCharge="","",IF(ISERROR(SEARCH("Municipal",PFPCharge)),"Will direct charges also be applied to non-customers who own property in the municipality?"," "))</f>
        <v>Will direct charges also be applied to non-customers who own property in the municipality?</v>
      </c>
      <c r="D59" s="209"/>
      <c r="E59" s="259"/>
      <c r="F59" s="209"/>
      <c r="G59" s="260"/>
      <c r="H59" s="228"/>
      <c r="I59" s="228"/>
      <c r="J59" s="228"/>
      <c r="K59" s="228"/>
      <c r="L59" s="239"/>
      <c r="M59" s="199"/>
      <c r="N59" s="199"/>
      <c r="O59" s="199"/>
    </row>
    <row r="60" spans="1:15">
      <c r="A60" s="204"/>
      <c r="B60" s="264"/>
      <c r="C60" s="228"/>
      <c r="D60" s="2104" t="s">
        <v>1300</v>
      </c>
      <c r="E60" s="2104"/>
      <c r="F60" s="247"/>
      <c r="G60" s="1607" t="str">
        <f>IF(D60="Yes - including vacant lots", "Number of lots","")</f>
        <v>Number of lots</v>
      </c>
      <c r="H60" s="228"/>
      <c r="I60" s="228"/>
      <c r="J60" s="228"/>
      <c r="K60" s="228"/>
      <c r="L60" s="239"/>
      <c r="M60" s="199"/>
      <c r="N60" s="199"/>
      <c r="O60" s="199"/>
    </row>
    <row r="61" spans="1:15" ht="13.5" thickBot="1">
      <c r="A61" s="204"/>
      <c r="B61" s="265"/>
      <c r="C61" s="266"/>
      <c r="D61" s="266"/>
      <c r="E61" s="267"/>
      <c r="F61" s="267"/>
      <c r="G61" s="268"/>
      <c r="H61" s="266"/>
      <c r="I61" s="266"/>
      <c r="J61" s="266"/>
      <c r="K61" s="266"/>
      <c r="L61" s="251"/>
      <c r="M61" s="199"/>
      <c r="N61" s="199"/>
      <c r="O61" s="199"/>
    </row>
    <row r="62" spans="1:15" ht="13.5" thickTop="1">
      <c r="A62" s="199"/>
      <c r="B62" s="203"/>
      <c r="C62" s="254"/>
      <c r="D62" s="254"/>
      <c r="E62" s="205"/>
      <c r="F62" s="205"/>
      <c r="G62" s="206"/>
      <c r="H62" s="254"/>
      <c r="I62" s="254"/>
      <c r="J62" s="255"/>
      <c r="K62" s="255"/>
      <c r="L62" s="203"/>
      <c r="M62" s="199"/>
      <c r="N62" s="199"/>
      <c r="O62" s="199"/>
    </row>
    <row r="63" spans="1:15" ht="13.5" thickBot="1">
      <c r="A63" s="203"/>
      <c r="B63" s="203"/>
      <c r="C63" s="256"/>
      <c r="D63" s="254"/>
      <c r="E63" s="205"/>
      <c r="F63" s="205"/>
      <c r="G63" s="206"/>
      <c r="H63" s="254"/>
      <c r="I63" s="254"/>
      <c r="J63" s="255"/>
      <c r="K63" s="255"/>
      <c r="L63" s="203"/>
      <c r="M63" s="203"/>
      <c r="N63" s="199"/>
      <c r="O63" s="199"/>
    </row>
    <row r="64" spans="1:15" ht="13.5" thickTop="1">
      <c r="A64" s="203"/>
      <c r="B64" s="263"/>
      <c r="C64" s="276"/>
      <c r="D64" s="277"/>
      <c r="E64" s="278"/>
      <c r="F64" s="278"/>
      <c r="G64" s="279"/>
      <c r="H64" s="277"/>
      <c r="I64" s="277"/>
      <c r="J64" s="280"/>
      <c r="K64" s="280"/>
      <c r="L64" s="237"/>
      <c r="M64" s="203"/>
      <c r="N64" s="199"/>
      <c r="O64" s="199"/>
    </row>
    <row r="65" spans="1:15">
      <c r="A65" s="203"/>
      <c r="B65" s="238" t="s">
        <v>956</v>
      </c>
      <c r="C65" s="228"/>
      <c r="D65" s="228"/>
      <c r="E65" s="232"/>
      <c r="F65" s="232"/>
      <c r="G65" s="222"/>
      <c r="H65" s="228"/>
      <c r="I65" s="228"/>
      <c r="J65" s="223"/>
      <c r="K65" s="223"/>
      <c r="L65" s="239"/>
      <c r="M65" s="203"/>
      <c r="N65" s="199"/>
      <c r="O65" s="199"/>
    </row>
    <row r="66" spans="1:15">
      <c r="A66" s="203"/>
      <c r="B66" s="240"/>
      <c r="C66" s="228"/>
      <c r="D66" s="228"/>
      <c r="E66" s="232"/>
      <c r="F66" s="232"/>
      <c r="G66" s="222"/>
      <c r="H66" s="228"/>
      <c r="I66" s="228"/>
      <c r="J66" s="223"/>
      <c r="K66" s="223"/>
      <c r="L66" s="239"/>
      <c r="M66" s="203"/>
      <c r="N66" s="199"/>
      <c r="O66" s="199"/>
    </row>
    <row r="67" spans="1:15" ht="17.25" customHeight="1">
      <c r="A67" s="203"/>
      <c r="B67" s="240"/>
      <c r="C67" s="228" t="s">
        <v>957</v>
      </c>
      <c r="D67" s="223"/>
      <c r="E67" s="223"/>
      <c r="F67" s="223"/>
      <c r="G67" s="223"/>
      <c r="H67" s="223"/>
      <c r="I67" s="223"/>
      <c r="J67" s="223"/>
      <c r="K67" s="223"/>
      <c r="L67" s="239"/>
      <c r="M67" s="203"/>
      <c r="N67" s="199"/>
      <c r="O67" s="199"/>
    </row>
    <row r="68" spans="1:15">
      <c r="A68" s="208"/>
      <c r="B68" s="242"/>
      <c r="C68" s="226" t="s">
        <v>1012</v>
      </c>
      <c r="D68" s="209"/>
      <c r="E68" s="223"/>
      <c r="F68" s="2094" t="s">
        <v>1301</v>
      </c>
      <c r="G68" s="2094"/>
      <c r="H68" s="2094"/>
      <c r="I68" s="223"/>
      <c r="J68" s="223"/>
      <c r="K68" s="223"/>
      <c r="L68" s="239"/>
      <c r="M68" s="203"/>
      <c r="N68" s="199"/>
      <c r="O68" s="199"/>
    </row>
    <row r="69" spans="1:15">
      <c r="A69" s="208"/>
      <c r="B69" s="242"/>
      <c r="C69" s="226" t="s">
        <v>938</v>
      </c>
      <c r="D69" s="209"/>
      <c r="E69" s="1592"/>
      <c r="F69" s="2066" t="s">
        <v>1332</v>
      </c>
      <c r="G69" s="2091"/>
      <c r="H69" s="2067"/>
      <c r="I69" s="1592"/>
      <c r="J69" s="1592"/>
      <c r="K69" s="1592"/>
      <c r="L69" s="239"/>
      <c r="M69" s="203"/>
      <c r="N69" s="199"/>
      <c r="O69" s="199"/>
    </row>
    <row r="70" spans="1:15" ht="13.15" customHeight="1">
      <c r="A70" s="203"/>
      <c r="B70" s="240"/>
      <c r="C70" s="246" t="s">
        <v>958</v>
      </c>
      <c r="D70" s="223"/>
      <c r="E70" s="223"/>
      <c r="F70" s="2094" t="s">
        <v>1332</v>
      </c>
      <c r="G70" s="2094"/>
      <c r="H70" s="2094"/>
      <c r="I70" s="223"/>
      <c r="J70" s="223"/>
      <c r="K70" s="223"/>
      <c r="L70" s="239"/>
      <c r="M70" s="203"/>
      <c r="N70" s="199"/>
      <c r="O70" s="199"/>
    </row>
    <row r="71" spans="1:15" ht="13.15" customHeight="1">
      <c r="A71" s="203"/>
      <c r="B71" s="281"/>
      <c r="C71" s="246" t="s">
        <v>959</v>
      </c>
      <c r="D71" s="223"/>
      <c r="E71" s="223"/>
      <c r="F71" s="274" t="s">
        <v>1118</v>
      </c>
      <c r="G71" s="271"/>
      <c r="H71" s="222"/>
      <c r="I71" s="223"/>
      <c r="J71" s="223"/>
      <c r="K71" s="223"/>
      <c r="L71" s="239"/>
      <c r="M71" s="203"/>
      <c r="N71" s="199"/>
      <c r="O71" s="199"/>
    </row>
    <row r="72" spans="1:15" ht="13.15" customHeight="1">
      <c r="A72" s="203"/>
      <c r="B72" s="240"/>
      <c r="C72" s="271"/>
      <c r="D72" s="271"/>
      <c r="E72" s="271"/>
      <c r="F72" s="271"/>
      <c r="G72" s="271"/>
      <c r="H72" s="222"/>
      <c r="I72" s="223"/>
      <c r="J72" s="223"/>
      <c r="K72" s="223"/>
      <c r="L72" s="239"/>
      <c r="M72" s="203"/>
      <c r="N72" s="199"/>
      <c r="O72" s="199"/>
    </row>
    <row r="73" spans="1:15" ht="13.15" customHeight="1">
      <c r="A73" s="203"/>
      <c r="B73" s="240"/>
      <c r="C73" s="224" t="s">
        <v>1032</v>
      </c>
      <c r="D73" s="1614"/>
      <c r="E73" s="1614"/>
      <c r="F73" s="1614"/>
      <c r="G73" s="1614"/>
      <c r="H73" s="222"/>
      <c r="I73" s="274" t="s">
        <v>1284</v>
      </c>
      <c r="J73" s="1615"/>
      <c r="K73" s="1615"/>
      <c r="L73" s="239"/>
      <c r="M73" s="203"/>
      <c r="N73" s="199"/>
      <c r="O73" s="199"/>
    </row>
    <row r="74" spans="1:15" ht="13.15" customHeight="1">
      <c r="A74" s="203"/>
      <c r="B74" s="240"/>
      <c r="C74" s="1614"/>
      <c r="D74" s="1614"/>
      <c r="E74" s="1614"/>
      <c r="F74" s="1614"/>
      <c r="G74" s="1614"/>
      <c r="H74" s="222"/>
      <c r="I74" s="1615"/>
      <c r="J74" s="1615"/>
      <c r="K74" s="1615"/>
      <c r="L74" s="239"/>
      <c r="M74" s="203"/>
      <c r="N74" s="199"/>
      <c r="O74" s="199"/>
    </row>
    <row r="75" spans="1:15" ht="17.25" customHeight="1">
      <c r="A75" s="203"/>
      <c r="B75" s="240"/>
      <c r="C75" s="229" t="s">
        <v>960</v>
      </c>
      <c r="D75" s="271"/>
      <c r="E75" s="271"/>
      <c r="F75" s="271"/>
      <c r="G75" s="271"/>
      <c r="H75" s="222"/>
      <c r="I75" s="223"/>
      <c r="J75" s="223"/>
      <c r="K75" s="223"/>
      <c r="L75" s="239"/>
      <c r="M75" s="203"/>
      <c r="N75" s="199"/>
      <c r="O75" s="199"/>
    </row>
    <row r="76" spans="1:15" ht="13.15" customHeight="1">
      <c r="A76" s="269"/>
      <c r="B76" s="282"/>
      <c r="C76" s="2095" t="s">
        <v>1333</v>
      </c>
      <c r="D76" s="2096"/>
      <c r="E76" s="2096"/>
      <c r="F76" s="2096"/>
      <c r="G76" s="2096"/>
      <c r="H76" s="2096"/>
      <c r="I76" s="2096"/>
      <c r="J76" s="2096"/>
      <c r="K76" s="2097"/>
      <c r="L76" s="239"/>
      <c r="M76" s="203"/>
      <c r="N76" s="199"/>
      <c r="O76" s="199"/>
    </row>
    <row r="77" spans="1:15" ht="13.15" customHeight="1">
      <c r="A77" s="270"/>
      <c r="B77" s="283"/>
      <c r="C77" s="2098"/>
      <c r="D77" s="2099"/>
      <c r="E77" s="2099"/>
      <c r="F77" s="2099"/>
      <c r="G77" s="2099"/>
      <c r="H77" s="2099"/>
      <c r="I77" s="2099"/>
      <c r="J77" s="2099"/>
      <c r="K77" s="2100"/>
      <c r="L77" s="239"/>
      <c r="M77" s="203"/>
      <c r="N77" s="199"/>
      <c r="O77" s="199"/>
    </row>
    <row r="78" spans="1:15" ht="13.15" customHeight="1">
      <c r="A78" s="198"/>
      <c r="B78" s="284"/>
      <c r="C78" s="2098"/>
      <c r="D78" s="2099"/>
      <c r="E78" s="2099"/>
      <c r="F78" s="2099"/>
      <c r="G78" s="2099"/>
      <c r="H78" s="2099"/>
      <c r="I78" s="2099"/>
      <c r="J78" s="2099"/>
      <c r="K78" s="2100"/>
      <c r="L78" s="239"/>
      <c r="M78" s="203"/>
      <c r="N78" s="199"/>
      <c r="O78" s="199"/>
    </row>
    <row r="79" spans="1:15" ht="13.15" customHeight="1">
      <c r="A79" s="194"/>
      <c r="B79" s="284"/>
      <c r="C79" s="2098"/>
      <c r="D79" s="2099"/>
      <c r="E79" s="2099"/>
      <c r="F79" s="2099"/>
      <c r="G79" s="2099"/>
      <c r="H79" s="2099"/>
      <c r="I79" s="2099"/>
      <c r="J79" s="2099"/>
      <c r="K79" s="2100"/>
      <c r="L79" s="239"/>
      <c r="M79" s="199"/>
      <c r="N79" s="199"/>
      <c r="O79" s="199"/>
    </row>
    <row r="80" spans="1:15" ht="13.15" customHeight="1">
      <c r="A80" s="197"/>
      <c r="B80" s="285"/>
      <c r="C80" s="2098"/>
      <c r="D80" s="2099"/>
      <c r="E80" s="2099"/>
      <c r="F80" s="2099"/>
      <c r="G80" s="2099"/>
      <c r="H80" s="2099"/>
      <c r="I80" s="2099"/>
      <c r="J80" s="2099"/>
      <c r="K80" s="2100"/>
      <c r="L80" s="239"/>
      <c r="M80" s="199"/>
      <c r="N80" s="199"/>
      <c r="O80" s="199"/>
    </row>
    <row r="81" spans="1:15" ht="13.15" customHeight="1">
      <c r="A81" s="198"/>
      <c r="B81" s="284"/>
      <c r="C81" s="2098"/>
      <c r="D81" s="2099"/>
      <c r="E81" s="2099"/>
      <c r="F81" s="2099"/>
      <c r="G81" s="2099"/>
      <c r="H81" s="2099"/>
      <c r="I81" s="2099"/>
      <c r="J81" s="2099"/>
      <c r="K81" s="2100"/>
      <c r="L81" s="239"/>
      <c r="M81" s="199"/>
      <c r="N81" s="199"/>
      <c r="O81" s="199"/>
    </row>
    <row r="82" spans="1:15">
      <c r="A82" s="203"/>
      <c r="B82" s="240"/>
      <c r="C82" s="2098"/>
      <c r="D82" s="2099"/>
      <c r="E82" s="2099"/>
      <c r="F82" s="2099"/>
      <c r="G82" s="2099"/>
      <c r="H82" s="2099"/>
      <c r="I82" s="2099"/>
      <c r="J82" s="2099"/>
      <c r="K82" s="2100"/>
      <c r="L82" s="239"/>
      <c r="M82" s="199"/>
      <c r="N82" s="199"/>
      <c r="O82" s="199"/>
    </row>
    <row r="83" spans="1:15">
      <c r="A83" s="208"/>
      <c r="B83" s="242"/>
      <c r="C83" s="2098"/>
      <c r="D83" s="2099"/>
      <c r="E83" s="2099"/>
      <c r="F83" s="2099"/>
      <c r="G83" s="2099"/>
      <c r="H83" s="2099"/>
      <c r="I83" s="2099"/>
      <c r="J83" s="2099"/>
      <c r="K83" s="2100"/>
      <c r="L83" s="239"/>
      <c r="M83" s="199"/>
      <c r="N83" s="199"/>
      <c r="O83" s="199"/>
    </row>
    <row r="84" spans="1:15">
      <c r="A84" s="203"/>
      <c r="B84" s="240"/>
      <c r="C84" s="2101"/>
      <c r="D84" s="2102"/>
      <c r="E84" s="2102"/>
      <c r="F84" s="2102"/>
      <c r="G84" s="2102"/>
      <c r="H84" s="2102"/>
      <c r="I84" s="2102"/>
      <c r="J84" s="2102"/>
      <c r="K84" s="2103"/>
      <c r="L84" s="239"/>
      <c r="M84" s="199"/>
      <c r="N84" s="199"/>
      <c r="O84" s="199"/>
    </row>
    <row r="85" spans="1:15">
      <c r="A85" s="199"/>
      <c r="B85" s="240"/>
      <c r="C85" s="214"/>
      <c r="D85" s="223"/>
      <c r="E85" s="223"/>
      <c r="F85" s="223"/>
      <c r="G85" s="223"/>
      <c r="H85" s="223"/>
      <c r="I85" s="223"/>
      <c r="J85" s="223"/>
      <c r="K85" s="223"/>
      <c r="L85" s="239"/>
      <c r="M85" s="199"/>
      <c r="N85" s="199"/>
      <c r="O85" s="199"/>
    </row>
    <row r="86" spans="1:15">
      <c r="A86" s="199"/>
      <c r="B86" s="240"/>
      <c r="C86" s="226" t="s">
        <v>786</v>
      </c>
      <c r="D86" s="209" t="s">
        <v>787</v>
      </c>
      <c r="E86" s="209"/>
      <c r="F86" s="209"/>
      <c r="G86" s="209"/>
      <c r="H86" s="209"/>
      <c r="I86" s="209"/>
      <c r="J86" s="209"/>
      <c r="K86" s="209"/>
      <c r="L86" s="239"/>
      <c r="M86" s="199"/>
      <c r="N86" s="199"/>
      <c r="O86" s="199"/>
    </row>
    <row r="87" spans="1:15">
      <c r="A87" s="199"/>
      <c r="B87" s="240"/>
      <c r="C87" s="209"/>
      <c r="D87" s="209" t="s">
        <v>788</v>
      </c>
      <c r="E87" s="209"/>
      <c r="F87" s="209"/>
      <c r="G87" s="209"/>
      <c r="H87" s="209"/>
      <c r="I87" s="209"/>
      <c r="J87" s="209"/>
      <c r="K87" s="209"/>
      <c r="L87" s="239"/>
      <c r="M87" s="199"/>
      <c r="N87" s="199"/>
      <c r="O87" s="199"/>
    </row>
    <row r="88" spans="1:15">
      <c r="A88" s="203"/>
      <c r="B88" s="240"/>
      <c r="C88" s="209"/>
      <c r="D88" s="209" t="s">
        <v>789</v>
      </c>
      <c r="E88" s="209"/>
      <c r="F88" s="209"/>
      <c r="G88" s="209"/>
      <c r="H88" s="209"/>
      <c r="I88" s="209"/>
      <c r="J88" s="209"/>
      <c r="K88" s="209"/>
      <c r="L88" s="239"/>
      <c r="M88" s="199"/>
      <c r="N88" s="199"/>
      <c r="O88" s="199"/>
    </row>
    <row r="89" spans="1:15">
      <c r="A89" s="203"/>
      <c r="B89" s="240"/>
      <c r="C89" s="209"/>
      <c r="D89" s="209" t="s">
        <v>790</v>
      </c>
      <c r="E89" s="209"/>
      <c r="F89" s="209"/>
      <c r="G89" s="209"/>
      <c r="H89" s="209"/>
      <c r="I89" s="209"/>
      <c r="J89" s="209"/>
      <c r="K89" s="209"/>
      <c r="L89" s="239"/>
      <c r="M89" s="199"/>
      <c r="N89" s="199"/>
      <c r="O89" s="199"/>
    </row>
    <row r="90" spans="1:15">
      <c r="A90" s="203"/>
      <c r="B90" s="240"/>
      <c r="C90" s="209"/>
      <c r="D90" s="209" t="s">
        <v>791</v>
      </c>
      <c r="E90" s="209"/>
      <c r="F90" s="209"/>
      <c r="G90" s="209"/>
      <c r="H90" s="209"/>
      <c r="I90" s="209"/>
      <c r="J90" s="209"/>
      <c r="K90" s="209"/>
      <c r="L90" s="239"/>
      <c r="M90" s="199"/>
      <c r="N90" s="199"/>
      <c r="O90" s="199"/>
    </row>
    <row r="91" spans="1:15">
      <c r="A91" s="203"/>
      <c r="B91" s="240"/>
      <c r="C91" s="209"/>
      <c r="D91" s="209" t="s">
        <v>792</v>
      </c>
      <c r="E91" s="209"/>
      <c r="F91" s="209"/>
      <c r="G91" s="209"/>
      <c r="H91" s="209"/>
      <c r="I91" s="209"/>
      <c r="J91" s="209"/>
      <c r="K91" s="209"/>
      <c r="L91" s="239"/>
      <c r="M91" s="199"/>
      <c r="N91" s="199"/>
      <c r="O91" s="199"/>
    </row>
    <row r="92" spans="1:15" ht="13.5" thickBot="1">
      <c r="A92" s="203"/>
      <c r="B92" s="249"/>
      <c r="C92" s="250"/>
      <c r="D92" s="286"/>
      <c r="E92" s="287"/>
      <c r="F92" s="287"/>
      <c r="G92" s="287"/>
      <c r="H92" s="287"/>
      <c r="I92" s="250"/>
      <c r="J92" s="250"/>
      <c r="K92" s="250"/>
      <c r="L92" s="251"/>
      <c r="M92" s="199"/>
      <c r="N92" s="199"/>
      <c r="O92" s="199"/>
    </row>
    <row r="93" spans="1:15" ht="13.5" thickTop="1">
      <c r="A93" s="203"/>
      <c r="B93" s="203"/>
      <c r="C93" s="201"/>
      <c r="D93" s="253"/>
      <c r="E93" s="255"/>
      <c r="F93" s="255"/>
      <c r="G93" s="255"/>
      <c r="H93" s="255"/>
      <c r="I93" s="203"/>
      <c r="J93" s="203"/>
      <c r="K93" s="203"/>
      <c r="L93" s="199"/>
      <c r="M93" s="199"/>
      <c r="N93" s="199"/>
      <c r="O93" s="199"/>
    </row>
    <row r="94" spans="1:15" ht="13.5" thickBot="1">
      <c r="A94" s="203"/>
      <c r="B94" s="203"/>
      <c r="C94" s="255"/>
      <c r="D94" s="253"/>
      <c r="E94" s="255"/>
      <c r="F94" s="255"/>
      <c r="G94" s="255"/>
      <c r="H94" s="255"/>
      <c r="I94" s="203"/>
      <c r="J94" s="203"/>
      <c r="K94" s="203"/>
      <c r="L94" s="199"/>
      <c r="M94" s="199"/>
      <c r="N94" s="199"/>
      <c r="O94" s="199"/>
    </row>
    <row r="95" spans="1:15" ht="13.5" thickTop="1">
      <c r="A95" s="203"/>
      <c r="B95" s="263"/>
      <c r="C95" s="280"/>
      <c r="D95" s="294"/>
      <c r="E95" s="280"/>
      <c r="F95" s="280"/>
      <c r="G95" s="280"/>
      <c r="H95" s="280"/>
      <c r="I95" s="236"/>
      <c r="J95" s="236"/>
      <c r="K95" s="236"/>
      <c r="L95" s="237"/>
      <c r="M95" s="199"/>
      <c r="N95" s="199"/>
      <c r="O95" s="199"/>
    </row>
    <row r="96" spans="1:15">
      <c r="A96" s="203"/>
      <c r="B96" s="238" t="s">
        <v>961</v>
      </c>
      <c r="C96" s="223"/>
      <c r="D96" s="247"/>
      <c r="E96" s="223"/>
      <c r="F96" s="223"/>
      <c r="G96" s="223"/>
      <c r="H96" s="223"/>
      <c r="I96" s="209"/>
      <c r="J96" s="209"/>
      <c r="K96" s="209"/>
      <c r="L96" s="239"/>
      <c r="M96" s="199"/>
      <c r="N96" s="199"/>
      <c r="O96" s="199"/>
    </row>
    <row r="97" spans="1:18">
      <c r="A97" s="208"/>
      <c r="B97" s="242"/>
      <c r="C97" s="209"/>
      <c r="D97" s="209"/>
      <c r="E97" s="209"/>
      <c r="F97" s="209"/>
      <c r="G97" s="209"/>
      <c r="H97" s="209"/>
      <c r="I97" s="209"/>
      <c r="J97" s="209"/>
      <c r="K97" s="209"/>
      <c r="L97" s="239"/>
      <c r="M97" s="199"/>
      <c r="N97" s="199"/>
      <c r="O97" s="199"/>
    </row>
    <row r="98" spans="1:18">
      <c r="A98" s="203"/>
      <c r="B98" s="240"/>
      <c r="C98" s="2078" t="s">
        <v>1338</v>
      </c>
      <c r="D98" s="2079"/>
      <c r="E98" s="2079"/>
      <c r="F98" s="2079"/>
      <c r="G98" s="2079"/>
      <c r="H98" s="2079"/>
      <c r="I98" s="2079"/>
      <c r="J98" s="2079"/>
      <c r="K98" s="2080"/>
      <c r="L98" s="239"/>
      <c r="M98" s="199"/>
      <c r="N98" s="199"/>
      <c r="O98" s="199"/>
    </row>
    <row r="99" spans="1:18">
      <c r="A99" s="203"/>
      <c r="B99" s="240"/>
      <c r="C99" s="2081"/>
      <c r="D99" s="2082"/>
      <c r="E99" s="2082"/>
      <c r="F99" s="2082"/>
      <c r="G99" s="2082"/>
      <c r="H99" s="2082"/>
      <c r="I99" s="2082"/>
      <c r="J99" s="2082"/>
      <c r="K99" s="2083"/>
      <c r="L99" s="239"/>
      <c r="M99" s="199"/>
      <c r="N99" s="199"/>
      <c r="O99" s="199"/>
    </row>
    <row r="100" spans="1:18">
      <c r="A100" s="203"/>
      <c r="B100" s="240"/>
      <c r="C100" s="2081"/>
      <c r="D100" s="2082"/>
      <c r="E100" s="2082"/>
      <c r="F100" s="2082"/>
      <c r="G100" s="2082"/>
      <c r="H100" s="2082"/>
      <c r="I100" s="2082"/>
      <c r="J100" s="2082"/>
      <c r="K100" s="2083"/>
      <c r="L100" s="239"/>
      <c r="M100" s="199"/>
      <c r="N100" s="199"/>
      <c r="O100" s="199"/>
    </row>
    <row r="101" spans="1:18">
      <c r="A101" s="203"/>
      <c r="B101" s="240"/>
      <c r="C101" s="2081"/>
      <c r="D101" s="2082"/>
      <c r="E101" s="2082"/>
      <c r="F101" s="2082"/>
      <c r="G101" s="2082"/>
      <c r="H101" s="2082"/>
      <c r="I101" s="2082"/>
      <c r="J101" s="2082"/>
      <c r="K101" s="2083"/>
      <c r="L101" s="239"/>
      <c r="M101" s="199"/>
      <c r="N101" s="199"/>
      <c r="O101" s="199"/>
    </row>
    <row r="102" spans="1:18" s="207" customFormat="1">
      <c r="A102" s="203"/>
      <c r="B102" s="240"/>
      <c r="C102" s="2081"/>
      <c r="D102" s="2082"/>
      <c r="E102" s="2082"/>
      <c r="F102" s="2082"/>
      <c r="G102" s="2082"/>
      <c r="H102" s="2082"/>
      <c r="I102" s="2082"/>
      <c r="J102" s="2082"/>
      <c r="K102" s="2083"/>
      <c r="L102" s="239"/>
      <c r="M102" s="203"/>
      <c r="N102" s="203"/>
      <c r="O102" s="203"/>
      <c r="P102" s="1473"/>
      <c r="Q102" s="1473"/>
      <c r="R102" s="1473"/>
    </row>
    <row r="103" spans="1:18" s="207" customFormat="1">
      <c r="A103" s="203"/>
      <c r="B103" s="240"/>
      <c r="C103" s="2081"/>
      <c r="D103" s="2082"/>
      <c r="E103" s="2082"/>
      <c r="F103" s="2082"/>
      <c r="G103" s="2082"/>
      <c r="H103" s="2082"/>
      <c r="I103" s="2082"/>
      <c r="J103" s="2082"/>
      <c r="K103" s="2083"/>
      <c r="L103" s="239"/>
      <c r="M103" s="203"/>
      <c r="N103" s="203"/>
      <c r="O103" s="203"/>
      <c r="P103" s="1473"/>
      <c r="Q103" s="1473"/>
      <c r="R103" s="1473"/>
    </row>
    <row r="104" spans="1:18">
      <c r="A104" s="203"/>
      <c r="B104" s="240"/>
      <c r="C104" s="2081"/>
      <c r="D104" s="2082"/>
      <c r="E104" s="2082"/>
      <c r="F104" s="2082"/>
      <c r="G104" s="2082"/>
      <c r="H104" s="2082"/>
      <c r="I104" s="2082"/>
      <c r="J104" s="2082"/>
      <c r="K104" s="2083"/>
      <c r="L104" s="239"/>
      <c r="M104" s="199"/>
      <c r="N104" s="199"/>
      <c r="O104" s="199"/>
    </row>
    <row r="105" spans="1:18">
      <c r="A105" s="203"/>
      <c r="B105" s="240"/>
      <c r="C105" s="2084"/>
      <c r="D105" s="2085"/>
      <c r="E105" s="2085"/>
      <c r="F105" s="2085"/>
      <c r="G105" s="2085"/>
      <c r="H105" s="2085"/>
      <c r="I105" s="2085"/>
      <c r="J105" s="2085"/>
      <c r="K105" s="2086"/>
      <c r="L105" s="239"/>
      <c r="M105" s="199"/>
      <c r="N105" s="199"/>
      <c r="O105" s="199"/>
    </row>
    <row r="106" spans="1:18" ht="13.5" thickBot="1">
      <c r="A106" s="203"/>
      <c r="B106" s="249"/>
      <c r="C106" s="286"/>
      <c r="D106" s="286"/>
      <c r="E106" s="286"/>
      <c r="F106" s="286"/>
      <c r="G106" s="286"/>
      <c r="H106" s="286"/>
      <c r="I106" s="250"/>
      <c r="J106" s="250"/>
      <c r="K106" s="250"/>
      <c r="L106" s="251"/>
      <c r="M106" s="199"/>
      <c r="N106" s="199"/>
      <c r="O106" s="199"/>
    </row>
    <row r="107" spans="1:18" ht="13.5" thickTop="1">
      <c r="A107" s="203"/>
      <c r="B107" s="203"/>
      <c r="C107" s="253"/>
      <c r="D107" s="253"/>
      <c r="E107" s="253"/>
      <c r="F107" s="253"/>
      <c r="G107" s="253"/>
      <c r="H107" s="253"/>
      <c r="I107" s="203"/>
      <c r="J107" s="203"/>
      <c r="K107" s="203"/>
      <c r="L107" s="203"/>
      <c r="M107" s="199"/>
      <c r="N107" s="199"/>
      <c r="O107" s="199"/>
    </row>
    <row r="108" spans="1:18">
      <c r="A108" s="203"/>
      <c r="B108" s="203"/>
      <c r="C108" s="203"/>
      <c r="D108" s="203"/>
      <c r="E108" s="203"/>
      <c r="F108" s="203"/>
      <c r="G108" s="203"/>
      <c r="H108" s="203"/>
      <c r="I108" s="203"/>
      <c r="J108" s="203"/>
      <c r="K108" s="203"/>
      <c r="L108" s="203"/>
      <c r="M108" s="199"/>
      <c r="N108" s="199"/>
      <c r="O108" s="199"/>
    </row>
    <row r="109" spans="1:18">
      <c r="A109" s="203"/>
      <c r="B109" s="203"/>
      <c r="C109" s="2092"/>
      <c r="D109" s="2093"/>
      <c r="E109" s="2093"/>
      <c r="F109" s="2093"/>
      <c r="G109" s="2093"/>
      <c r="H109" s="2093"/>
      <c r="I109" s="2093"/>
      <c r="J109" s="2093"/>
      <c r="K109" s="2093"/>
      <c r="L109" s="203"/>
      <c r="M109" s="199"/>
      <c r="N109" s="199"/>
      <c r="O109" s="199"/>
    </row>
    <row r="110" spans="1:18">
      <c r="A110" s="203"/>
      <c r="B110" s="203"/>
      <c r="C110" s="2093"/>
      <c r="D110" s="2093"/>
      <c r="E110" s="2093"/>
      <c r="F110" s="2093"/>
      <c r="G110" s="2093"/>
      <c r="H110" s="2093"/>
      <c r="I110" s="2093"/>
      <c r="J110" s="2093"/>
      <c r="K110" s="2093"/>
      <c r="L110" s="203"/>
      <c r="M110" s="199"/>
      <c r="N110" s="199"/>
      <c r="O110" s="199"/>
    </row>
    <row r="111" spans="1:18">
      <c r="A111" s="203"/>
      <c r="B111" s="203"/>
      <c r="C111" s="2093"/>
      <c r="D111" s="2093"/>
      <c r="E111" s="2093"/>
      <c r="F111" s="2093"/>
      <c r="G111" s="2093"/>
      <c r="H111" s="2093"/>
      <c r="I111" s="2093"/>
      <c r="J111" s="2093"/>
      <c r="K111" s="2093"/>
      <c r="L111" s="203"/>
      <c r="M111" s="199"/>
      <c r="N111" s="199"/>
      <c r="O111" s="199"/>
    </row>
    <row r="112" spans="1:18">
      <c r="A112" s="203"/>
      <c r="B112" s="203"/>
      <c r="C112" s="2093"/>
      <c r="D112" s="2093"/>
      <c r="E112" s="2093"/>
      <c r="F112" s="2093"/>
      <c r="G112" s="2093"/>
      <c r="H112" s="2093"/>
      <c r="I112" s="2093"/>
      <c r="J112" s="2093"/>
      <c r="K112" s="2093"/>
      <c r="L112" s="203"/>
      <c r="M112" s="199"/>
      <c r="N112" s="199"/>
      <c r="O112" s="199"/>
    </row>
    <row r="113" spans="1:15">
      <c r="A113" s="203"/>
      <c r="B113" s="203"/>
      <c r="C113" s="2093"/>
      <c r="D113" s="2093"/>
      <c r="E113" s="2093"/>
      <c r="F113" s="2093"/>
      <c r="G113" s="2093"/>
      <c r="H113" s="2093"/>
      <c r="I113" s="2093"/>
      <c r="J113" s="2093"/>
      <c r="K113" s="2093"/>
      <c r="L113" s="203"/>
      <c r="M113" s="199"/>
      <c r="N113" s="199"/>
      <c r="O113" s="199"/>
    </row>
    <row r="114" spans="1:15">
      <c r="A114" s="203"/>
      <c r="B114" s="203"/>
      <c r="C114" s="203"/>
      <c r="D114" s="203"/>
      <c r="E114" s="203"/>
      <c r="F114" s="203"/>
      <c r="G114" s="203"/>
      <c r="H114" s="203"/>
      <c r="I114" s="203"/>
      <c r="J114" s="203"/>
      <c r="K114" s="203"/>
      <c r="L114" s="203"/>
      <c r="M114" s="199"/>
      <c r="N114" s="199"/>
      <c r="O114" s="199"/>
    </row>
    <row r="115" spans="1:15">
      <c r="A115" s="203"/>
      <c r="B115" s="203"/>
      <c r="C115" s="203"/>
      <c r="D115" s="203"/>
      <c r="E115" s="203"/>
      <c r="F115" s="203"/>
      <c r="G115" s="203"/>
      <c r="H115" s="203"/>
      <c r="I115" s="203"/>
      <c r="J115" s="203"/>
      <c r="K115" s="203"/>
      <c r="L115" s="203"/>
      <c r="M115" s="199"/>
      <c r="N115" s="199"/>
      <c r="O115" s="199"/>
    </row>
    <row r="116" spans="1:15">
      <c r="A116" s="203"/>
      <c r="B116" s="203"/>
      <c r="C116" s="288"/>
      <c r="D116" s="203"/>
      <c r="E116" s="203"/>
      <c r="F116" s="203"/>
      <c r="G116" s="203"/>
      <c r="H116" s="203"/>
      <c r="I116" s="203"/>
      <c r="J116" s="203"/>
      <c r="K116" s="203"/>
      <c r="L116" s="203"/>
      <c r="M116" s="199"/>
      <c r="N116" s="199"/>
      <c r="O116" s="199"/>
    </row>
    <row r="117" spans="1:15">
      <c r="A117" s="203"/>
      <c r="B117" s="203"/>
      <c r="C117" s="203"/>
      <c r="D117" s="203"/>
      <c r="E117" s="203"/>
      <c r="F117" s="203"/>
      <c r="G117" s="203"/>
      <c r="H117" s="203"/>
      <c r="I117" s="203"/>
      <c r="J117" s="203"/>
      <c r="K117" s="203"/>
      <c r="L117" s="203"/>
      <c r="M117" s="199"/>
      <c r="N117" s="199"/>
      <c r="O117" s="199"/>
    </row>
    <row r="118" spans="1:15">
      <c r="A118" s="203"/>
      <c r="B118" s="203"/>
      <c r="C118" s="203"/>
      <c r="D118" s="203"/>
      <c r="E118" s="203"/>
      <c r="F118" s="203"/>
      <c r="G118" s="203"/>
      <c r="H118" s="203"/>
      <c r="I118" s="203"/>
      <c r="J118" s="203"/>
      <c r="K118" s="203"/>
      <c r="L118" s="203"/>
      <c r="M118" s="199"/>
      <c r="N118" s="199"/>
      <c r="O118" s="199"/>
    </row>
    <row r="119" spans="1:15">
      <c r="A119" s="203"/>
      <c r="B119" s="203"/>
      <c r="C119" s="203"/>
      <c r="D119" s="203"/>
      <c r="E119" s="203"/>
      <c r="F119" s="203"/>
      <c r="G119" s="203"/>
      <c r="H119" s="203"/>
      <c r="I119" s="203"/>
      <c r="J119" s="203"/>
      <c r="K119" s="203"/>
      <c r="L119" s="203"/>
      <c r="M119" s="199"/>
      <c r="N119" s="199"/>
      <c r="O119" s="199"/>
    </row>
    <row r="120" spans="1:15">
      <c r="A120" s="203"/>
      <c r="B120" s="203"/>
      <c r="C120" s="203"/>
      <c r="D120" s="203"/>
      <c r="E120" s="203"/>
      <c r="F120" s="203"/>
      <c r="G120" s="203"/>
      <c r="H120" s="203"/>
      <c r="I120" s="203"/>
      <c r="J120" s="203"/>
      <c r="K120" s="203"/>
      <c r="L120" s="203"/>
      <c r="M120" s="199"/>
      <c r="N120" s="199"/>
      <c r="O120" s="199"/>
    </row>
    <row r="121" spans="1:15">
      <c r="A121" s="203"/>
      <c r="B121" s="203"/>
      <c r="C121" s="203"/>
      <c r="D121" s="203"/>
      <c r="E121" s="203"/>
      <c r="F121" s="203"/>
      <c r="G121" s="203"/>
      <c r="H121" s="203"/>
      <c r="I121" s="203"/>
      <c r="J121" s="203"/>
      <c r="K121" s="203"/>
      <c r="L121" s="203"/>
      <c r="M121" s="199"/>
      <c r="N121" s="199"/>
      <c r="O121" s="199"/>
    </row>
    <row r="122" spans="1:15">
      <c r="A122" s="203"/>
      <c r="B122" s="203"/>
      <c r="C122" s="203"/>
      <c r="D122" s="203"/>
      <c r="E122" s="203"/>
      <c r="F122" s="203"/>
      <c r="G122" s="203"/>
      <c r="H122" s="203"/>
      <c r="I122" s="203"/>
      <c r="J122" s="203"/>
      <c r="K122" s="203"/>
      <c r="L122" s="203"/>
      <c r="M122" s="199"/>
      <c r="N122" s="199"/>
      <c r="O122" s="199"/>
    </row>
    <row r="123" spans="1:15">
      <c r="A123" s="203"/>
      <c r="B123" s="203"/>
      <c r="C123" s="203"/>
      <c r="D123" s="203"/>
      <c r="E123" s="203"/>
      <c r="F123" s="203"/>
      <c r="G123" s="203"/>
      <c r="H123" s="203"/>
      <c r="I123" s="203"/>
      <c r="J123" s="203"/>
      <c r="K123" s="203"/>
      <c r="L123" s="203"/>
      <c r="M123" s="199"/>
      <c r="N123" s="199"/>
      <c r="O123" s="199"/>
    </row>
    <row r="124" spans="1:15">
      <c r="A124" s="208"/>
      <c r="B124" s="208"/>
      <c r="C124" s="203"/>
      <c r="D124" s="203"/>
      <c r="E124" s="203"/>
      <c r="F124" s="203"/>
      <c r="G124" s="203"/>
      <c r="H124" s="203"/>
      <c r="I124" s="203"/>
      <c r="J124" s="203"/>
      <c r="K124" s="203"/>
      <c r="L124" s="203"/>
      <c r="M124" s="199"/>
      <c r="N124" s="199"/>
      <c r="O124" s="199"/>
    </row>
    <row r="125" spans="1:15">
      <c r="A125" s="203"/>
      <c r="B125" s="203"/>
      <c r="C125" s="203"/>
      <c r="D125" s="203"/>
      <c r="E125" s="203"/>
      <c r="F125" s="203"/>
      <c r="G125" s="203"/>
      <c r="H125" s="203"/>
      <c r="I125" s="203"/>
      <c r="J125" s="203"/>
      <c r="K125" s="203"/>
      <c r="L125" s="203"/>
      <c r="M125" s="199"/>
      <c r="N125" s="199"/>
      <c r="O125" s="199"/>
    </row>
    <row r="126" spans="1:15">
      <c r="A126" s="203"/>
      <c r="B126" s="203"/>
      <c r="C126" s="2092"/>
      <c r="D126" s="2093"/>
      <c r="E126" s="2093"/>
      <c r="F126" s="2093"/>
      <c r="G126" s="2093"/>
      <c r="H126" s="2093"/>
      <c r="I126" s="2093"/>
      <c r="J126" s="2093"/>
      <c r="K126" s="2093"/>
      <c r="L126" s="203"/>
      <c r="M126" s="199"/>
      <c r="N126" s="199"/>
      <c r="O126" s="199"/>
    </row>
    <row r="127" spans="1:15">
      <c r="A127" s="203"/>
      <c r="B127" s="203"/>
      <c r="C127" s="2093"/>
      <c r="D127" s="2093"/>
      <c r="E127" s="2093"/>
      <c r="F127" s="2093"/>
      <c r="G127" s="2093"/>
      <c r="H127" s="2093"/>
      <c r="I127" s="2093"/>
      <c r="J127" s="2093"/>
      <c r="K127" s="2093"/>
      <c r="L127" s="203"/>
      <c r="M127" s="199"/>
      <c r="N127" s="199"/>
      <c r="O127" s="199"/>
    </row>
    <row r="128" spans="1:15">
      <c r="A128" s="203"/>
      <c r="B128" s="203"/>
      <c r="C128" s="2093"/>
      <c r="D128" s="2093"/>
      <c r="E128" s="2093"/>
      <c r="F128" s="2093"/>
      <c r="G128" s="2093"/>
      <c r="H128" s="2093"/>
      <c r="I128" s="2093"/>
      <c r="J128" s="2093"/>
      <c r="K128" s="2093"/>
      <c r="L128" s="203"/>
      <c r="M128" s="199"/>
      <c r="N128" s="199"/>
      <c r="O128" s="199"/>
    </row>
    <row r="129" spans="1:15">
      <c r="A129" s="203"/>
      <c r="B129" s="203"/>
      <c r="C129" s="2093"/>
      <c r="D129" s="2093"/>
      <c r="E129" s="2093"/>
      <c r="F129" s="2093"/>
      <c r="G129" s="2093"/>
      <c r="H129" s="2093"/>
      <c r="I129" s="2093"/>
      <c r="J129" s="2093"/>
      <c r="K129" s="2093"/>
      <c r="L129" s="203"/>
      <c r="M129" s="199"/>
      <c r="N129" s="199"/>
      <c r="O129" s="199"/>
    </row>
    <row r="130" spans="1:15">
      <c r="A130" s="203"/>
      <c r="B130" s="203"/>
      <c r="C130" s="2093"/>
      <c r="D130" s="2093"/>
      <c r="E130" s="2093"/>
      <c r="F130" s="2093"/>
      <c r="G130" s="2093"/>
      <c r="H130" s="2093"/>
      <c r="I130" s="2093"/>
      <c r="J130" s="2093"/>
      <c r="K130" s="2093"/>
      <c r="L130" s="203"/>
      <c r="M130" s="199"/>
      <c r="N130" s="199"/>
      <c r="O130" s="199"/>
    </row>
    <row r="131" spans="1:15">
      <c r="A131" s="203"/>
      <c r="B131" s="203"/>
      <c r="C131" s="203"/>
      <c r="D131" s="203"/>
      <c r="E131" s="203"/>
      <c r="F131" s="203"/>
      <c r="G131" s="203"/>
      <c r="H131" s="203"/>
      <c r="I131" s="203"/>
      <c r="J131" s="203"/>
      <c r="K131" s="203"/>
      <c r="L131" s="203"/>
      <c r="M131" s="199"/>
      <c r="N131" s="199"/>
      <c r="O131" s="199"/>
    </row>
    <row r="132" spans="1:15">
      <c r="A132" s="203"/>
      <c r="B132" s="203"/>
      <c r="C132" s="203"/>
      <c r="D132" s="203"/>
      <c r="E132" s="203"/>
      <c r="F132" s="203"/>
      <c r="G132" s="203"/>
      <c r="H132" s="203"/>
      <c r="I132" s="203"/>
      <c r="J132" s="203"/>
      <c r="K132" s="203"/>
      <c r="L132" s="203"/>
      <c r="M132" s="199"/>
      <c r="N132" s="199"/>
      <c r="O132" s="199"/>
    </row>
    <row r="133" spans="1:15">
      <c r="A133" s="203"/>
      <c r="B133" s="203"/>
      <c r="C133" s="203"/>
      <c r="D133" s="203"/>
      <c r="E133" s="203"/>
      <c r="F133" s="203"/>
      <c r="G133" s="203"/>
      <c r="H133" s="203"/>
      <c r="I133" s="203"/>
      <c r="J133" s="203"/>
      <c r="K133" s="203"/>
      <c r="L133" s="203"/>
      <c r="M133" s="199"/>
      <c r="N133" s="199"/>
      <c r="O133" s="199"/>
    </row>
    <row r="134" spans="1:15">
      <c r="A134" s="203"/>
      <c r="B134" s="203"/>
      <c r="C134" s="203"/>
      <c r="D134" s="203"/>
      <c r="E134" s="203"/>
      <c r="F134" s="203"/>
      <c r="G134" s="203"/>
      <c r="H134" s="203"/>
      <c r="I134" s="203"/>
      <c r="J134" s="203"/>
      <c r="K134" s="203"/>
      <c r="L134" s="203"/>
      <c r="M134" s="199"/>
      <c r="N134" s="199"/>
      <c r="O134" s="199"/>
    </row>
    <row r="135" spans="1:15">
      <c r="A135" s="203"/>
      <c r="B135" s="203"/>
      <c r="C135" s="203"/>
      <c r="D135" s="203"/>
      <c r="E135" s="203"/>
      <c r="F135" s="203"/>
      <c r="G135" s="203"/>
      <c r="H135" s="203"/>
      <c r="I135" s="203"/>
      <c r="J135" s="203"/>
      <c r="K135" s="203"/>
      <c r="L135" s="203"/>
      <c r="M135" s="199"/>
      <c r="N135" s="199"/>
      <c r="O135" s="199"/>
    </row>
    <row r="136" spans="1:15">
      <c r="A136" s="203"/>
      <c r="B136" s="203"/>
      <c r="C136" s="203"/>
      <c r="D136" s="203"/>
      <c r="E136" s="203"/>
      <c r="F136" s="203"/>
      <c r="G136" s="203"/>
      <c r="H136" s="203"/>
      <c r="I136" s="203"/>
      <c r="J136" s="203"/>
      <c r="K136" s="203"/>
      <c r="L136" s="203"/>
      <c r="M136" s="199"/>
      <c r="N136" s="199"/>
      <c r="O136" s="199"/>
    </row>
    <row r="137" spans="1:15">
      <c r="A137" s="199"/>
      <c r="B137" s="199"/>
      <c r="C137" s="199"/>
      <c r="D137" s="199"/>
      <c r="E137" s="199"/>
      <c r="F137" s="199"/>
      <c r="G137" s="199"/>
      <c r="H137" s="199"/>
      <c r="I137" s="199"/>
      <c r="J137" s="199"/>
      <c r="K137" s="199"/>
      <c r="L137" s="199"/>
      <c r="M137" s="199"/>
      <c r="N137" s="199"/>
      <c r="O137" s="199"/>
    </row>
    <row r="138" spans="1:15">
      <c r="A138" s="199"/>
      <c r="B138" s="199"/>
      <c r="C138" s="199"/>
      <c r="D138" s="199"/>
      <c r="E138" s="199"/>
      <c r="F138" s="199"/>
      <c r="G138" s="199"/>
      <c r="H138" s="199"/>
      <c r="I138" s="199"/>
      <c r="J138" s="199"/>
      <c r="K138" s="199"/>
      <c r="L138" s="199"/>
      <c r="M138" s="199"/>
      <c r="N138" s="199"/>
      <c r="O138" s="199"/>
    </row>
    <row r="139" spans="1:15">
      <c r="A139" s="199"/>
      <c r="B139" s="199"/>
      <c r="C139" s="199"/>
      <c r="D139" s="199"/>
      <c r="E139" s="199"/>
      <c r="F139" s="199"/>
      <c r="G139" s="199"/>
      <c r="H139" s="199"/>
      <c r="I139" s="199"/>
      <c r="J139" s="199"/>
      <c r="K139" s="199"/>
      <c r="L139" s="199"/>
      <c r="M139" s="199"/>
      <c r="N139" s="199"/>
      <c r="O139" s="199"/>
    </row>
    <row r="140" spans="1:15">
      <c r="A140" s="199"/>
      <c r="B140" s="199"/>
      <c r="C140" s="199"/>
      <c r="D140" s="199"/>
      <c r="E140" s="199"/>
      <c r="F140" s="199"/>
      <c r="G140" s="199"/>
      <c r="H140" s="199"/>
      <c r="I140" s="199"/>
      <c r="J140" s="199"/>
      <c r="K140" s="199"/>
      <c r="L140" s="199"/>
      <c r="M140" s="199"/>
      <c r="N140" s="199"/>
      <c r="O140" s="199"/>
    </row>
    <row r="141" spans="1:15">
      <c r="A141" s="199"/>
      <c r="B141" s="199"/>
      <c r="C141" s="199"/>
      <c r="D141" s="199"/>
      <c r="E141" s="199"/>
      <c r="F141" s="199"/>
      <c r="G141" s="199"/>
      <c r="H141" s="199"/>
      <c r="I141" s="199"/>
      <c r="J141" s="199"/>
      <c r="K141" s="199"/>
      <c r="L141" s="199"/>
      <c r="M141" s="199"/>
      <c r="N141" s="199"/>
      <c r="O141" s="199"/>
    </row>
    <row r="142" spans="1:15">
      <c r="A142" s="199"/>
      <c r="B142" s="199"/>
      <c r="C142" s="199"/>
      <c r="D142" s="199"/>
      <c r="E142" s="199"/>
      <c r="F142" s="199"/>
      <c r="G142" s="199"/>
      <c r="H142" s="199"/>
      <c r="I142" s="199"/>
      <c r="J142" s="199"/>
      <c r="K142" s="199"/>
      <c r="L142" s="199"/>
      <c r="M142" s="199"/>
      <c r="N142" s="199"/>
      <c r="O142" s="199"/>
    </row>
    <row r="143" spans="1:15">
      <c r="A143" s="199"/>
      <c r="B143" s="199"/>
      <c r="C143" s="199"/>
      <c r="D143" s="199"/>
      <c r="E143" s="199"/>
      <c r="F143" s="199"/>
      <c r="G143" s="199"/>
      <c r="H143" s="199"/>
      <c r="I143" s="199"/>
      <c r="J143" s="199"/>
      <c r="K143" s="199"/>
      <c r="L143" s="199"/>
      <c r="M143" s="199"/>
      <c r="N143" s="199"/>
      <c r="O143" s="199"/>
    </row>
    <row r="144" spans="1:15">
      <c r="A144" s="199"/>
      <c r="B144" s="199"/>
      <c r="C144" s="199"/>
      <c r="D144" s="199"/>
      <c r="E144" s="199"/>
      <c r="F144" s="199"/>
      <c r="G144" s="199"/>
      <c r="H144" s="199"/>
      <c r="I144" s="199"/>
      <c r="J144" s="199"/>
      <c r="K144" s="199"/>
      <c r="L144" s="199"/>
      <c r="M144" s="199"/>
      <c r="N144" s="199"/>
      <c r="O144" s="199"/>
    </row>
    <row r="145" spans="1:15">
      <c r="A145" s="199"/>
      <c r="B145" s="199"/>
      <c r="C145" s="199"/>
      <c r="D145" s="199"/>
      <c r="E145" s="199"/>
      <c r="F145" s="199"/>
      <c r="G145" s="199"/>
      <c r="H145" s="199"/>
      <c r="I145" s="199"/>
      <c r="J145" s="199"/>
      <c r="K145" s="199"/>
      <c r="L145" s="199"/>
      <c r="M145" s="199"/>
      <c r="N145" s="199"/>
      <c r="O145" s="199"/>
    </row>
    <row r="146" spans="1:15">
      <c r="A146" s="199"/>
      <c r="B146" s="199"/>
      <c r="C146" s="199"/>
      <c r="D146" s="199"/>
      <c r="E146" s="199"/>
      <c r="F146" s="199"/>
      <c r="G146" s="199"/>
      <c r="H146" s="199"/>
      <c r="I146" s="199"/>
      <c r="J146" s="199"/>
      <c r="K146" s="199"/>
      <c r="L146" s="199"/>
      <c r="M146" s="199"/>
      <c r="N146" s="199"/>
      <c r="O146" s="199"/>
    </row>
    <row r="147" spans="1:15">
      <c r="A147" s="199"/>
      <c r="B147" s="199"/>
      <c r="C147" s="199"/>
      <c r="D147" s="199"/>
      <c r="E147" s="199"/>
      <c r="F147" s="199"/>
      <c r="G147" s="199"/>
      <c r="H147" s="199"/>
      <c r="I147" s="199"/>
      <c r="J147" s="199"/>
      <c r="K147" s="199"/>
      <c r="L147" s="199"/>
      <c r="M147" s="199"/>
      <c r="N147" s="199"/>
      <c r="O147" s="199"/>
    </row>
    <row r="148" spans="1:15">
      <c r="A148" s="199"/>
      <c r="B148" s="199"/>
      <c r="C148" s="199"/>
      <c r="D148" s="199"/>
      <c r="E148" s="199"/>
      <c r="F148" s="199"/>
      <c r="G148" s="199"/>
      <c r="H148" s="199"/>
      <c r="I148" s="199"/>
      <c r="J148" s="199"/>
      <c r="K148" s="199"/>
      <c r="L148" s="199"/>
      <c r="M148" s="199"/>
      <c r="N148" s="199"/>
      <c r="O148" s="199"/>
    </row>
    <row r="149" spans="1:15">
      <c r="A149" s="199"/>
      <c r="B149" s="199"/>
      <c r="C149" s="199"/>
      <c r="D149" s="199"/>
      <c r="E149" s="199"/>
      <c r="F149" s="199"/>
      <c r="G149" s="199"/>
      <c r="H149" s="199"/>
      <c r="I149" s="199"/>
      <c r="J149" s="199"/>
      <c r="K149" s="199"/>
      <c r="L149" s="199"/>
      <c r="M149" s="199"/>
      <c r="N149" s="199"/>
      <c r="O149" s="199"/>
    </row>
    <row r="150" spans="1:15">
      <c r="A150" s="199"/>
      <c r="B150" s="199"/>
      <c r="C150" s="199"/>
      <c r="D150" s="199"/>
      <c r="E150" s="199"/>
      <c r="F150" s="199"/>
      <c r="G150" s="199"/>
      <c r="H150" s="199"/>
      <c r="I150" s="199"/>
      <c r="J150" s="199"/>
      <c r="K150" s="199"/>
      <c r="L150" s="199"/>
      <c r="M150" s="199"/>
      <c r="N150" s="199"/>
      <c r="O150" s="199"/>
    </row>
    <row r="151" spans="1:15">
      <c r="A151" s="199"/>
      <c r="B151" s="199"/>
      <c r="C151" s="199"/>
      <c r="D151" s="199"/>
      <c r="E151" s="199"/>
      <c r="F151" s="199"/>
      <c r="G151" s="199"/>
      <c r="H151" s="199"/>
      <c r="I151" s="199"/>
      <c r="J151" s="199"/>
      <c r="K151" s="199"/>
      <c r="L151" s="199"/>
      <c r="M151" s="199"/>
      <c r="N151" s="199"/>
      <c r="O151" s="199"/>
    </row>
    <row r="152" spans="1:15">
      <c r="A152" s="199"/>
      <c r="B152" s="199"/>
      <c r="C152" s="199"/>
      <c r="D152" s="199"/>
      <c r="E152" s="199"/>
      <c r="F152" s="199"/>
      <c r="G152" s="199"/>
      <c r="H152" s="199"/>
      <c r="I152" s="199"/>
      <c r="J152" s="199"/>
      <c r="K152" s="199"/>
      <c r="L152" s="199"/>
      <c r="M152" s="199"/>
      <c r="N152" s="199"/>
      <c r="O152" s="199"/>
    </row>
    <row r="153" spans="1:15">
      <c r="A153" s="199"/>
      <c r="B153" s="199"/>
      <c r="C153" s="199"/>
      <c r="D153" s="199"/>
      <c r="E153" s="199"/>
      <c r="F153" s="199"/>
      <c r="G153" s="199"/>
      <c r="H153" s="199"/>
      <c r="I153" s="199"/>
      <c r="J153" s="199"/>
      <c r="K153" s="199"/>
      <c r="L153" s="199"/>
      <c r="M153" s="199"/>
      <c r="N153" s="199"/>
      <c r="O153" s="199"/>
    </row>
    <row r="154" spans="1:15">
      <c r="A154" s="199"/>
      <c r="B154" s="199"/>
      <c r="C154" s="199"/>
      <c r="D154" s="199"/>
      <c r="E154" s="199"/>
      <c r="F154" s="199"/>
      <c r="G154" s="199"/>
      <c r="H154" s="199"/>
      <c r="I154" s="199"/>
      <c r="J154" s="199"/>
      <c r="K154" s="199"/>
      <c r="L154" s="199"/>
      <c r="M154" s="199"/>
      <c r="N154" s="199"/>
      <c r="O154" s="199"/>
    </row>
    <row r="155" spans="1:15">
      <c r="A155" s="199"/>
      <c r="B155" s="199"/>
      <c r="C155" s="199"/>
      <c r="D155" s="199"/>
      <c r="E155" s="199"/>
      <c r="F155" s="199"/>
      <c r="G155" s="199"/>
      <c r="H155" s="199"/>
      <c r="I155" s="199"/>
      <c r="J155" s="199"/>
      <c r="K155" s="199"/>
      <c r="L155" s="199"/>
      <c r="M155" s="199"/>
      <c r="N155" s="199"/>
      <c r="O155" s="199"/>
    </row>
    <row r="156" spans="1:15">
      <c r="A156" s="199"/>
      <c r="B156" s="199"/>
      <c r="C156" s="199"/>
      <c r="D156" s="199"/>
      <c r="E156" s="199"/>
      <c r="F156" s="199"/>
      <c r="G156" s="199"/>
      <c r="H156" s="199"/>
      <c r="I156" s="199"/>
      <c r="J156" s="199"/>
      <c r="K156" s="199"/>
      <c r="L156" s="199"/>
      <c r="M156" s="199"/>
      <c r="N156" s="199"/>
      <c r="O156" s="199"/>
    </row>
    <row r="157" spans="1:15">
      <c r="A157" s="199"/>
      <c r="B157" s="199"/>
      <c r="C157" s="199"/>
      <c r="D157" s="199"/>
      <c r="E157" s="199"/>
      <c r="F157" s="199"/>
      <c r="G157" s="199"/>
      <c r="H157" s="199"/>
      <c r="I157" s="199"/>
      <c r="J157" s="199"/>
      <c r="K157" s="199"/>
      <c r="L157" s="199"/>
      <c r="M157" s="199"/>
      <c r="N157" s="199"/>
      <c r="O157" s="199"/>
    </row>
    <row r="158" spans="1:15">
      <c r="A158" s="199"/>
      <c r="B158" s="199"/>
      <c r="C158" s="199"/>
      <c r="D158" s="199"/>
      <c r="E158" s="199"/>
      <c r="F158" s="199"/>
      <c r="G158" s="199"/>
      <c r="H158" s="199"/>
      <c r="I158" s="199"/>
      <c r="J158" s="199"/>
      <c r="K158" s="199"/>
      <c r="L158" s="199"/>
      <c r="M158" s="199"/>
      <c r="N158" s="199"/>
      <c r="O158" s="199"/>
    </row>
    <row r="159" spans="1:15">
      <c r="A159" s="199"/>
      <c r="B159" s="199"/>
      <c r="C159" s="199"/>
      <c r="D159" s="199"/>
      <c r="E159" s="199"/>
      <c r="F159" s="199"/>
      <c r="G159" s="199"/>
      <c r="H159" s="199"/>
      <c r="I159" s="199"/>
      <c r="J159" s="199"/>
      <c r="K159" s="199"/>
      <c r="L159" s="199"/>
      <c r="M159" s="199"/>
      <c r="N159" s="199"/>
      <c r="O159" s="199"/>
    </row>
    <row r="160" spans="1:15">
      <c r="A160" s="199"/>
      <c r="B160" s="199"/>
      <c r="C160" s="199"/>
      <c r="D160" s="199"/>
      <c r="E160" s="199"/>
      <c r="F160" s="199"/>
      <c r="G160" s="199"/>
      <c r="H160" s="199"/>
      <c r="I160" s="199"/>
      <c r="J160" s="199"/>
      <c r="K160" s="199"/>
      <c r="L160" s="199"/>
      <c r="M160" s="199"/>
      <c r="N160" s="199"/>
      <c r="O160" s="199"/>
    </row>
    <row r="161" spans="1:15">
      <c r="A161" s="199"/>
      <c r="B161" s="199"/>
      <c r="C161" s="199"/>
      <c r="D161" s="199"/>
      <c r="E161" s="199"/>
      <c r="F161" s="199"/>
      <c r="G161" s="199"/>
      <c r="H161" s="199"/>
      <c r="I161" s="199"/>
      <c r="J161" s="199"/>
      <c r="K161" s="199"/>
      <c r="L161" s="199"/>
      <c r="M161" s="199"/>
      <c r="N161" s="199"/>
      <c r="O161" s="199"/>
    </row>
    <row r="162" spans="1:15">
      <c r="A162" s="199"/>
      <c r="B162" s="199"/>
      <c r="C162" s="199"/>
      <c r="D162" s="199"/>
      <c r="E162" s="199"/>
      <c r="F162" s="199"/>
      <c r="G162" s="199"/>
      <c r="H162" s="199"/>
      <c r="I162" s="199"/>
      <c r="J162" s="199"/>
      <c r="K162" s="199"/>
      <c r="L162" s="199"/>
      <c r="M162" s="199"/>
      <c r="N162" s="199"/>
      <c r="O162" s="199"/>
    </row>
    <row r="163" spans="1:15">
      <c r="A163" s="199"/>
      <c r="B163" s="199"/>
      <c r="C163" s="199"/>
      <c r="D163" s="199"/>
      <c r="E163" s="199"/>
      <c r="F163" s="199"/>
      <c r="G163" s="199"/>
      <c r="H163" s="199"/>
      <c r="I163" s="199"/>
      <c r="J163" s="199"/>
      <c r="K163" s="199"/>
      <c r="L163" s="199"/>
      <c r="M163" s="199"/>
      <c r="N163" s="199"/>
      <c r="O163" s="199"/>
    </row>
    <row r="164" spans="1:15">
      <c r="A164" s="199"/>
      <c r="B164" s="199"/>
      <c r="C164" s="199"/>
      <c r="D164" s="199"/>
      <c r="E164" s="199"/>
      <c r="F164" s="199"/>
      <c r="G164" s="199"/>
      <c r="H164" s="199"/>
      <c r="I164" s="199"/>
      <c r="J164" s="199"/>
      <c r="K164" s="199"/>
      <c r="L164" s="199"/>
      <c r="M164" s="199"/>
      <c r="N164" s="199"/>
      <c r="O164" s="199"/>
    </row>
    <row r="165" spans="1:15">
      <c r="A165" s="199"/>
      <c r="B165" s="199"/>
      <c r="C165" s="199"/>
      <c r="D165" s="199"/>
      <c r="E165" s="199"/>
      <c r="F165" s="199"/>
      <c r="G165" s="199"/>
      <c r="H165" s="199"/>
      <c r="I165" s="199"/>
      <c r="J165" s="199"/>
      <c r="K165" s="199"/>
      <c r="L165" s="199"/>
      <c r="M165" s="199"/>
      <c r="N165" s="199"/>
      <c r="O165" s="199"/>
    </row>
    <row r="166" spans="1:15">
      <c r="A166" s="199"/>
      <c r="B166" s="199"/>
      <c r="C166" s="199"/>
      <c r="D166" s="199"/>
      <c r="E166" s="199"/>
      <c r="F166" s="199"/>
      <c r="G166" s="199"/>
      <c r="H166" s="199"/>
      <c r="I166" s="199"/>
      <c r="J166" s="199"/>
      <c r="K166" s="199"/>
      <c r="L166" s="199"/>
      <c r="M166" s="199"/>
      <c r="N166" s="199"/>
      <c r="O166" s="199"/>
    </row>
    <row r="167" spans="1:15">
      <c r="A167" s="199"/>
      <c r="B167" s="199"/>
      <c r="C167" s="199"/>
      <c r="D167" s="199"/>
      <c r="E167" s="199"/>
      <c r="F167" s="199"/>
      <c r="G167" s="199"/>
      <c r="H167" s="199"/>
      <c r="I167" s="199"/>
      <c r="J167" s="199"/>
      <c r="K167" s="199"/>
      <c r="L167" s="199"/>
      <c r="M167" s="199"/>
      <c r="N167" s="199"/>
      <c r="O167" s="199"/>
    </row>
    <row r="168" spans="1:15">
      <c r="A168" s="199"/>
      <c r="B168" s="199"/>
      <c r="C168" s="199"/>
      <c r="D168" s="199"/>
      <c r="E168" s="199"/>
      <c r="F168" s="199"/>
      <c r="G168" s="199"/>
      <c r="H168" s="199"/>
      <c r="I168" s="199"/>
      <c r="J168" s="199"/>
      <c r="K168" s="199"/>
      <c r="L168" s="199"/>
      <c r="M168" s="199"/>
      <c r="N168" s="199"/>
      <c r="O168" s="199"/>
    </row>
    <row r="169" spans="1:15">
      <c r="A169" s="199"/>
      <c r="B169" s="199"/>
      <c r="C169" s="199"/>
      <c r="D169" s="199"/>
      <c r="E169" s="199"/>
      <c r="F169" s="199"/>
      <c r="G169" s="199"/>
      <c r="H169" s="199"/>
      <c r="I169" s="199"/>
      <c r="J169" s="199"/>
      <c r="K169" s="199"/>
      <c r="L169" s="199"/>
      <c r="M169" s="199"/>
      <c r="N169" s="199"/>
      <c r="O169" s="199"/>
    </row>
    <row r="170" spans="1:15">
      <c r="A170" s="199"/>
      <c r="B170" s="199"/>
      <c r="C170" s="199"/>
      <c r="D170" s="199"/>
      <c r="E170" s="199"/>
      <c r="F170" s="199"/>
      <c r="G170" s="199"/>
      <c r="H170" s="199"/>
      <c r="I170" s="199"/>
      <c r="J170" s="199"/>
      <c r="K170" s="199"/>
      <c r="L170" s="199"/>
      <c r="M170" s="199"/>
      <c r="N170" s="199"/>
      <c r="O170" s="199"/>
    </row>
    <row r="171" spans="1:15">
      <c r="A171" s="199"/>
      <c r="B171" s="199"/>
      <c r="C171" s="199"/>
      <c r="D171" s="199"/>
      <c r="E171" s="199"/>
      <c r="F171" s="199"/>
      <c r="G171" s="199"/>
      <c r="H171" s="199"/>
      <c r="I171" s="199"/>
      <c r="J171" s="199"/>
      <c r="K171" s="199"/>
      <c r="L171" s="199"/>
      <c r="M171" s="199"/>
      <c r="N171" s="199"/>
      <c r="O171" s="199"/>
    </row>
    <row r="172" spans="1:15">
      <c r="A172" s="199"/>
      <c r="B172" s="199"/>
      <c r="C172" s="199"/>
      <c r="D172" s="199"/>
      <c r="E172" s="199"/>
      <c r="F172" s="199"/>
      <c r="G172" s="199"/>
      <c r="H172" s="199"/>
      <c r="I172" s="199"/>
      <c r="J172" s="199"/>
      <c r="K172" s="199"/>
      <c r="L172" s="199"/>
      <c r="M172" s="199"/>
      <c r="N172" s="199"/>
      <c r="O172" s="199"/>
    </row>
    <row r="173" spans="1:15">
      <c r="A173" s="199"/>
      <c r="B173" s="199"/>
      <c r="C173" s="199"/>
      <c r="D173" s="199"/>
      <c r="E173" s="199"/>
      <c r="F173" s="199"/>
      <c r="G173" s="199"/>
      <c r="H173" s="199"/>
      <c r="I173" s="199"/>
      <c r="J173" s="199"/>
      <c r="K173" s="199"/>
      <c r="L173" s="199"/>
      <c r="M173" s="199"/>
      <c r="N173" s="199"/>
      <c r="O173" s="199"/>
    </row>
    <row r="174" spans="1:15">
      <c r="A174" s="199"/>
      <c r="B174" s="199"/>
      <c r="C174" s="199"/>
      <c r="D174" s="199"/>
      <c r="E174" s="199"/>
      <c r="F174" s="199"/>
      <c r="G174" s="199"/>
      <c r="H174" s="199"/>
      <c r="I174" s="199"/>
      <c r="J174" s="199"/>
      <c r="K174" s="199"/>
      <c r="L174" s="199"/>
      <c r="M174" s="199"/>
      <c r="N174" s="199"/>
      <c r="O174" s="199"/>
    </row>
    <row r="175" spans="1:15">
      <c r="A175" s="199"/>
      <c r="B175" s="199"/>
      <c r="C175" s="199"/>
      <c r="D175" s="199"/>
      <c r="E175" s="199"/>
      <c r="F175" s="199"/>
      <c r="G175" s="199"/>
      <c r="H175" s="199"/>
      <c r="I175" s="199"/>
      <c r="J175" s="199"/>
      <c r="K175" s="199"/>
      <c r="L175" s="199"/>
      <c r="M175" s="199"/>
      <c r="N175" s="199"/>
      <c r="O175" s="199"/>
    </row>
    <row r="176" spans="1:15">
      <c r="A176" s="199"/>
      <c r="B176" s="199"/>
      <c r="C176" s="199"/>
      <c r="D176" s="199"/>
      <c r="E176" s="199"/>
      <c r="F176" s="199"/>
      <c r="G176" s="199"/>
      <c r="H176" s="199"/>
      <c r="I176" s="199"/>
      <c r="J176" s="199"/>
      <c r="K176" s="199"/>
      <c r="L176" s="199"/>
      <c r="M176" s="199"/>
      <c r="N176" s="199"/>
      <c r="O176" s="199"/>
    </row>
    <row r="177" spans="1:15">
      <c r="A177" s="199"/>
      <c r="B177" s="199"/>
      <c r="C177" s="199"/>
      <c r="D177" s="199"/>
      <c r="E177" s="199"/>
      <c r="F177" s="199"/>
      <c r="G177" s="199"/>
      <c r="H177" s="199"/>
      <c r="I177" s="199"/>
      <c r="J177" s="199"/>
      <c r="K177" s="199"/>
      <c r="L177" s="199"/>
      <c r="M177" s="199"/>
      <c r="N177" s="199"/>
      <c r="O177" s="199"/>
    </row>
    <row r="178" spans="1:15">
      <c r="A178" s="199"/>
      <c r="B178" s="199"/>
      <c r="C178" s="199"/>
      <c r="D178" s="199"/>
      <c r="E178" s="199"/>
      <c r="F178" s="199"/>
      <c r="G178" s="199"/>
      <c r="H178" s="199"/>
      <c r="I178" s="199"/>
      <c r="J178" s="199"/>
      <c r="K178" s="199"/>
      <c r="L178" s="199"/>
      <c r="M178" s="199"/>
      <c r="N178" s="199"/>
      <c r="O178" s="199"/>
    </row>
    <row r="179" spans="1:15">
      <c r="A179" s="199"/>
      <c r="B179" s="199"/>
      <c r="C179" s="199"/>
      <c r="D179" s="199"/>
      <c r="E179" s="199"/>
      <c r="F179" s="199"/>
      <c r="G179" s="199"/>
      <c r="H179" s="199"/>
      <c r="I179" s="199"/>
      <c r="J179" s="199"/>
      <c r="K179" s="199"/>
      <c r="L179" s="199"/>
      <c r="M179" s="199"/>
      <c r="N179" s="199"/>
      <c r="O179" s="199"/>
    </row>
    <row r="180" spans="1:15">
      <c r="A180" s="199"/>
      <c r="B180" s="199"/>
      <c r="C180" s="199"/>
      <c r="D180" s="199"/>
      <c r="E180" s="199"/>
      <c r="F180" s="199"/>
      <c r="G180" s="199"/>
      <c r="H180" s="199"/>
      <c r="I180" s="199"/>
      <c r="J180" s="199"/>
      <c r="K180" s="199"/>
      <c r="L180" s="199"/>
      <c r="M180" s="199"/>
      <c r="N180" s="199"/>
      <c r="O180" s="199"/>
    </row>
    <row r="181" spans="1:15">
      <c r="A181" s="199"/>
      <c r="B181" s="199"/>
      <c r="C181" s="199"/>
      <c r="D181" s="199"/>
      <c r="E181" s="199"/>
      <c r="F181" s="199"/>
      <c r="G181" s="199"/>
      <c r="H181" s="199"/>
      <c r="I181" s="199"/>
      <c r="J181" s="199"/>
      <c r="K181" s="199"/>
      <c r="L181" s="199"/>
      <c r="M181" s="199"/>
      <c r="N181" s="199"/>
      <c r="O181" s="199"/>
    </row>
    <row r="182" spans="1:15">
      <c r="A182" s="199"/>
      <c r="B182" s="199"/>
      <c r="C182" s="199"/>
      <c r="D182" s="199"/>
      <c r="E182" s="199"/>
      <c r="F182" s="199"/>
      <c r="G182" s="199"/>
      <c r="H182" s="199"/>
      <c r="I182" s="199"/>
      <c r="J182" s="199"/>
      <c r="K182" s="199"/>
      <c r="L182" s="199"/>
      <c r="M182" s="199"/>
      <c r="N182" s="199"/>
      <c r="O182" s="199"/>
    </row>
    <row r="183" spans="1:15">
      <c r="A183" s="199"/>
      <c r="B183" s="199"/>
      <c r="C183" s="199"/>
      <c r="D183" s="199"/>
      <c r="E183" s="199"/>
      <c r="F183" s="199"/>
      <c r="G183" s="199"/>
      <c r="H183" s="199"/>
      <c r="I183" s="199"/>
      <c r="J183" s="199"/>
      <c r="K183" s="199"/>
      <c r="L183" s="199"/>
      <c r="M183" s="199"/>
      <c r="N183" s="199"/>
      <c r="O183" s="199"/>
    </row>
    <row r="184" spans="1:15">
      <c r="A184" s="199"/>
      <c r="B184" s="199"/>
      <c r="C184" s="199"/>
      <c r="D184" s="199"/>
      <c r="E184" s="199"/>
      <c r="F184" s="199"/>
      <c r="G184" s="199"/>
      <c r="H184" s="199"/>
      <c r="I184" s="199"/>
      <c r="J184" s="199"/>
      <c r="K184" s="199"/>
      <c r="L184" s="199"/>
      <c r="M184" s="199"/>
      <c r="N184" s="199"/>
      <c r="O184" s="199"/>
    </row>
    <row r="185" spans="1:15">
      <c r="A185" s="199"/>
      <c r="B185" s="199"/>
      <c r="C185" s="199"/>
      <c r="D185" s="199"/>
      <c r="E185" s="199"/>
      <c r="F185" s="199"/>
      <c r="G185" s="199"/>
      <c r="H185" s="199"/>
      <c r="I185" s="199"/>
      <c r="J185" s="199"/>
      <c r="K185" s="199"/>
      <c r="L185" s="199"/>
      <c r="M185" s="199"/>
      <c r="N185" s="199"/>
      <c r="O185" s="199"/>
    </row>
    <row r="186" spans="1:15">
      <c r="A186" s="199"/>
      <c r="B186" s="199"/>
      <c r="C186" s="199"/>
      <c r="D186" s="199"/>
      <c r="E186" s="199"/>
      <c r="F186" s="199"/>
      <c r="G186" s="199"/>
      <c r="H186" s="199"/>
      <c r="I186" s="199"/>
      <c r="J186" s="199"/>
      <c r="K186" s="199"/>
      <c r="L186" s="199"/>
      <c r="M186" s="199"/>
      <c r="N186" s="199"/>
      <c r="O186" s="199"/>
    </row>
    <row r="187" spans="1:15">
      <c r="A187" s="199"/>
      <c r="B187" s="199"/>
      <c r="C187" s="199"/>
      <c r="D187" s="199"/>
      <c r="E187" s="199"/>
      <c r="F187" s="199"/>
      <c r="G187" s="199"/>
      <c r="H187" s="199"/>
      <c r="I187" s="199"/>
      <c r="J187" s="199"/>
      <c r="K187" s="199"/>
      <c r="L187" s="199"/>
      <c r="M187" s="199"/>
      <c r="N187" s="199"/>
      <c r="O187" s="199"/>
    </row>
    <row r="188" spans="1:15">
      <c r="A188" s="199"/>
      <c r="B188" s="199"/>
      <c r="C188" s="199"/>
      <c r="D188" s="199"/>
      <c r="E188" s="199"/>
      <c r="F188" s="199"/>
      <c r="G188" s="199"/>
      <c r="H188" s="199"/>
      <c r="I188" s="199"/>
      <c r="J188" s="199"/>
      <c r="K188" s="199"/>
      <c r="L188" s="199"/>
      <c r="M188" s="199"/>
      <c r="N188" s="199"/>
      <c r="O188" s="199"/>
    </row>
    <row r="189" spans="1:15">
      <c r="A189" s="199"/>
      <c r="B189" s="199"/>
      <c r="C189" s="199"/>
      <c r="D189" s="199"/>
      <c r="E189" s="199"/>
      <c r="F189" s="199"/>
      <c r="G189" s="199"/>
      <c r="H189" s="199"/>
      <c r="I189" s="199"/>
      <c r="J189" s="199"/>
      <c r="K189" s="199"/>
      <c r="L189" s="199"/>
      <c r="M189" s="199"/>
      <c r="N189" s="199"/>
      <c r="O189" s="199"/>
    </row>
    <row r="190" spans="1:15">
      <c r="A190" s="199"/>
      <c r="B190" s="199"/>
      <c r="C190" s="199"/>
      <c r="D190" s="199"/>
      <c r="E190" s="199"/>
      <c r="F190" s="199"/>
      <c r="G190" s="199"/>
      <c r="H190" s="199"/>
      <c r="I190" s="199"/>
      <c r="J190" s="199"/>
      <c r="K190" s="199"/>
      <c r="L190" s="199"/>
      <c r="M190" s="199"/>
      <c r="N190" s="199"/>
      <c r="O190" s="199"/>
    </row>
    <row r="191" spans="1:15">
      <c r="A191" s="199"/>
      <c r="B191" s="199"/>
      <c r="C191" s="199"/>
      <c r="D191" s="199"/>
      <c r="E191" s="199"/>
      <c r="F191" s="199"/>
      <c r="G191" s="199"/>
      <c r="H191" s="199"/>
      <c r="I191" s="199"/>
      <c r="J191" s="199"/>
      <c r="K191" s="199"/>
      <c r="L191" s="199"/>
      <c r="M191" s="199"/>
      <c r="N191" s="199"/>
      <c r="O191" s="199"/>
    </row>
    <row r="192" spans="1:15">
      <c r="A192" s="199"/>
      <c r="B192" s="199"/>
      <c r="C192" s="199"/>
      <c r="D192" s="199"/>
      <c r="E192" s="199"/>
      <c r="F192" s="199"/>
      <c r="G192" s="199"/>
      <c r="H192" s="199"/>
      <c r="I192" s="199"/>
      <c r="J192" s="199"/>
      <c r="K192" s="199"/>
      <c r="L192" s="199"/>
      <c r="M192" s="199"/>
      <c r="N192" s="199"/>
      <c r="O192" s="199"/>
    </row>
    <row r="193" spans="1:15">
      <c r="A193" s="199"/>
      <c r="B193" s="199"/>
      <c r="C193" s="199"/>
      <c r="D193" s="199"/>
      <c r="E193" s="199"/>
      <c r="F193" s="199"/>
      <c r="G193" s="199"/>
      <c r="H193" s="199"/>
      <c r="I193" s="199"/>
      <c r="J193" s="199"/>
      <c r="K193" s="199"/>
      <c r="L193" s="199"/>
      <c r="M193" s="199"/>
      <c r="N193" s="199"/>
      <c r="O193" s="199"/>
    </row>
    <row r="194" spans="1:15">
      <c r="A194" s="199"/>
      <c r="B194" s="199"/>
      <c r="C194" s="199"/>
      <c r="D194" s="199"/>
      <c r="E194" s="199"/>
      <c r="F194" s="199"/>
      <c r="G194" s="199"/>
      <c r="H194" s="199"/>
      <c r="I194" s="199"/>
      <c r="J194" s="199"/>
      <c r="K194" s="199"/>
      <c r="L194" s="199"/>
      <c r="M194" s="199"/>
      <c r="N194" s="199"/>
      <c r="O194" s="199"/>
    </row>
    <row r="195" spans="1:15">
      <c r="A195" s="199"/>
      <c r="B195" s="199"/>
      <c r="C195" s="199"/>
      <c r="D195" s="199"/>
      <c r="E195" s="199"/>
      <c r="F195" s="199"/>
      <c r="G195" s="199"/>
      <c r="H195" s="199"/>
      <c r="I195" s="199"/>
      <c r="J195" s="199"/>
      <c r="K195" s="199"/>
      <c r="L195" s="199"/>
      <c r="M195" s="199"/>
      <c r="N195" s="199"/>
      <c r="O195" s="199"/>
    </row>
    <row r="196" spans="1:15">
      <c r="A196" s="199"/>
      <c r="B196" s="199"/>
      <c r="C196" s="199"/>
      <c r="D196" s="199"/>
      <c r="E196" s="199"/>
      <c r="F196" s="199"/>
      <c r="G196" s="199"/>
      <c r="H196" s="199"/>
      <c r="I196" s="199"/>
      <c r="J196" s="199"/>
      <c r="K196" s="199"/>
      <c r="L196" s="199"/>
      <c r="M196" s="199"/>
      <c r="N196" s="199"/>
      <c r="O196" s="199"/>
    </row>
    <row r="197" spans="1:15">
      <c r="A197" s="199"/>
      <c r="B197" s="199"/>
      <c r="C197" s="199"/>
      <c r="D197" s="199"/>
      <c r="E197" s="199"/>
      <c r="F197" s="199"/>
      <c r="G197" s="199"/>
      <c r="H197" s="199"/>
      <c r="I197" s="199"/>
      <c r="J197" s="199"/>
      <c r="K197" s="199"/>
      <c r="L197" s="199"/>
      <c r="M197" s="199"/>
      <c r="N197" s="199"/>
      <c r="O197" s="199"/>
    </row>
    <row r="198" spans="1:15">
      <c r="A198" s="199"/>
      <c r="B198" s="199"/>
      <c r="C198" s="199"/>
      <c r="D198" s="199"/>
      <c r="E198" s="199"/>
      <c r="F198" s="199"/>
      <c r="G198" s="199"/>
      <c r="H198" s="199"/>
      <c r="I198" s="199"/>
      <c r="J198" s="199"/>
      <c r="K198" s="199"/>
      <c r="L198" s="199"/>
      <c r="M198" s="199"/>
      <c r="N198" s="199"/>
      <c r="O198" s="199"/>
    </row>
    <row r="199" spans="1:15">
      <c r="A199" s="199"/>
      <c r="B199" s="199"/>
      <c r="C199" s="199"/>
      <c r="D199" s="199"/>
      <c r="E199" s="199"/>
      <c r="F199" s="199"/>
      <c r="G199" s="199"/>
      <c r="H199" s="199"/>
      <c r="I199" s="199"/>
      <c r="J199" s="199"/>
      <c r="K199" s="199"/>
      <c r="L199" s="199"/>
      <c r="M199" s="199"/>
      <c r="N199" s="199"/>
      <c r="O199" s="199"/>
    </row>
    <row r="200" spans="1:15">
      <c r="A200" s="199"/>
      <c r="B200" s="199"/>
      <c r="C200" s="199"/>
      <c r="D200" s="199"/>
      <c r="E200" s="199"/>
      <c r="F200" s="199"/>
      <c r="G200" s="199"/>
      <c r="H200" s="199"/>
      <c r="I200" s="199"/>
      <c r="J200" s="199"/>
      <c r="K200" s="199"/>
      <c r="L200" s="199"/>
      <c r="M200" s="199"/>
      <c r="N200" s="199"/>
      <c r="O200" s="199"/>
    </row>
    <row r="201" spans="1:15">
      <c r="A201" s="199"/>
      <c r="B201" s="199"/>
      <c r="C201" s="199"/>
      <c r="D201" s="199"/>
      <c r="E201" s="199"/>
      <c r="F201" s="199"/>
      <c r="G201" s="199"/>
      <c r="H201" s="199"/>
      <c r="I201" s="199"/>
      <c r="J201" s="199"/>
      <c r="K201" s="199"/>
      <c r="L201" s="199"/>
      <c r="M201" s="199"/>
      <c r="N201" s="199"/>
      <c r="O201" s="199"/>
    </row>
    <row r="202" spans="1:15">
      <c r="A202" s="199"/>
      <c r="B202" s="199"/>
      <c r="C202" s="199"/>
      <c r="D202" s="199"/>
      <c r="E202" s="199"/>
      <c r="F202" s="199"/>
      <c r="G202" s="199"/>
      <c r="H202" s="199"/>
      <c r="I202" s="199"/>
      <c r="J202" s="199"/>
      <c r="K202" s="199"/>
      <c r="L202" s="199"/>
      <c r="M202" s="199"/>
      <c r="N202" s="199"/>
      <c r="O202" s="199"/>
    </row>
    <row r="203" spans="1:15">
      <c r="A203" s="199"/>
      <c r="B203" s="199"/>
      <c r="C203" s="199"/>
      <c r="D203" s="199"/>
      <c r="E203" s="199"/>
      <c r="F203" s="199"/>
      <c r="G203" s="199"/>
      <c r="H203" s="199"/>
      <c r="I203" s="199"/>
      <c r="J203" s="199"/>
      <c r="K203" s="199"/>
      <c r="L203" s="199"/>
      <c r="M203" s="199"/>
      <c r="N203" s="199"/>
      <c r="O203" s="199"/>
    </row>
    <row r="204" spans="1:15">
      <c r="A204" s="199"/>
      <c r="B204" s="199"/>
      <c r="C204" s="199"/>
      <c r="D204" s="199"/>
      <c r="E204" s="199"/>
      <c r="F204" s="199"/>
      <c r="G204" s="199"/>
      <c r="H204" s="199"/>
      <c r="I204" s="199"/>
      <c r="J204" s="199"/>
      <c r="K204" s="199"/>
      <c r="L204" s="199"/>
      <c r="M204" s="199"/>
      <c r="N204" s="199"/>
      <c r="O204" s="199"/>
    </row>
    <row r="205" spans="1:15">
      <c r="A205" s="199"/>
      <c r="B205" s="199"/>
      <c r="C205" s="199"/>
      <c r="D205" s="199"/>
      <c r="E205" s="199"/>
      <c r="F205" s="199"/>
      <c r="G205" s="199"/>
      <c r="H205" s="199"/>
      <c r="I205" s="199"/>
      <c r="J205" s="199"/>
      <c r="K205" s="199"/>
      <c r="L205" s="199"/>
      <c r="M205" s="199"/>
      <c r="N205" s="199"/>
      <c r="O205" s="199"/>
    </row>
    <row r="206" spans="1:15">
      <c r="A206" s="199"/>
      <c r="B206" s="199"/>
      <c r="C206" s="199"/>
      <c r="D206" s="199"/>
      <c r="E206" s="199"/>
      <c r="F206" s="199"/>
      <c r="G206" s="199"/>
      <c r="H206" s="199"/>
      <c r="I206" s="199"/>
      <c r="J206" s="199"/>
      <c r="K206" s="199"/>
      <c r="L206" s="199"/>
      <c r="M206" s="199"/>
      <c r="N206" s="199"/>
      <c r="O206" s="199"/>
    </row>
    <row r="207" spans="1:15">
      <c r="A207" s="199"/>
      <c r="B207" s="199"/>
      <c r="C207" s="199"/>
      <c r="D207" s="199"/>
      <c r="E207" s="199"/>
      <c r="F207" s="199"/>
      <c r="G207" s="199"/>
      <c r="H207" s="199"/>
      <c r="I207" s="199"/>
      <c r="J207" s="199"/>
      <c r="K207" s="199"/>
      <c r="L207" s="199"/>
      <c r="M207" s="199"/>
      <c r="N207" s="199"/>
      <c r="O207" s="199"/>
    </row>
    <row r="208" spans="1:15">
      <c r="A208" s="199"/>
      <c r="B208" s="199"/>
      <c r="C208" s="199"/>
      <c r="D208" s="199"/>
      <c r="E208" s="199"/>
      <c r="F208" s="199"/>
      <c r="G208" s="199"/>
      <c r="H208" s="199"/>
      <c r="I208" s="199"/>
      <c r="J208" s="199"/>
      <c r="K208" s="199"/>
      <c r="L208" s="199"/>
      <c r="M208" s="199"/>
      <c r="N208" s="199"/>
      <c r="O208" s="199"/>
    </row>
    <row r="209" spans="1:15">
      <c r="A209" s="199"/>
      <c r="B209" s="199"/>
      <c r="C209" s="199"/>
      <c r="D209" s="199"/>
      <c r="E209" s="199"/>
      <c r="F209" s="199"/>
      <c r="G209" s="199"/>
      <c r="H209" s="199"/>
      <c r="I209" s="199"/>
      <c r="J209" s="199"/>
      <c r="K209" s="199"/>
      <c r="L209" s="199"/>
      <c r="M209" s="199"/>
      <c r="N209" s="199"/>
      <c r="O209" s="199"/>
    </row>
    <row r="210" spans="1:15">
      <c r="A210" s="199"/>
      <c r="B210" s="199"/>
      <c r="C210" s="199"/>
      <c r="D210" s="199"/>
      <c r="E210" s="199"/>
      <c r="F210" s="199"/>
      <c r="G210" s="199"/>
      <c r="H210" s="199"/>
      <c r="I210" s="199"/>
      <c r="J210" s="199"/>
      <c r="K210" s="199"/>
      <c r="L210" s="199"/>
      <c r="M210" s="199"/>
      <c r="N210" s="199"/>
      <c r="O210" s="199"/>
    </row>
    <row r="211" spans="1:15">
      <c r="A211" s="199"/>
      <c r="B211" s="199"/>
      <c r="C211" s="199"/>
      <c r="D211" s="199"/>
      <c r="E211" s="199"/>
      <c r="F211" s="199"/>
      <c r="G211" s="199"/>
      <c r="H211" s="199"/>
      <c r="I211" s="199"/>
      <c r="J211" s="199"/>
      <c r="K211" s="199"/>
      <c r="L211" s="199"/>
      <c r="M211" s="199"/>
      <c r="N211" s="199"/>
      <c r="O211" s="199"/>
    </row>
    <row r="212" spans="1:15">
      <c r="A212" s="199"/>
      <c r="B212" s="199"/>
      <c r="C212" s="199"/>
      <c r="D212" s="199"/>
      <c r="E212" s="199"/>
      <c r="F212" s="199"/>
      <c r="G212" s="199"/>
      <c r="H212" s="199"/>
      <c r="I212" s="199"/>
      <c r="J212" s="199"/>
      <c r="K212" s="199"/>
      <c r="L212" s="199"/>
      <c r="M212" s="199"/>
      <c r="N212" s="199"/>
      <c r="O212" s="199"/>
    </row>
    <row r="213" spans="1:15">
      <c r="A213" s="199"/>
      <c r="B213" s="199"/>
      <c r="C213" s="199"/>
      <c r="D213" s="199"/>
      <c r="E213" s="199"/>
      <c r="F213" s="199"/>
      <c r="G213" s="199"/>
      <c r="H213" s="199"/>
      <c r="I213" s="199"/>
      <c r="J213" s="199"/>
      <c r="K213" s="199"/>
      <c r="L213" s="199"/>
      <c r="M213" s="199"/>
      <c r="N213" s="199"/>
      <c r="O213" s="199"/>
    </row>
    <row r="214" spans="1:15">
      <c r="A214" s="199"/>
      <c r="B214" s="199"/>
      <c r="C214" s="199"/>
      <c r="D214" s="199"/>
      <c r="E214" s="199"/>
      <c r="F214" s="199"/>
      <c r="G214" s="199"/>
      <c r="H214" s="199"/>
      <c r="I214" s="199"/>
      <c r="J214" s="199"/>
      <c r="K214" s="199"/>
      <c r="L214" s="199"/>
      <c r="M214" s="199"/>
      <c r="N214" s="199"/>
      <c r="O214" s="199"/>
    </row>
    <row r="215" spans="1:15">
      <c r="A215" s="199"/>
      <c r="B215" s="199"/>
      <c r="C215" s="199"/>
      <c r="D215" s="199"/>
      <c r="E215" s="199"/>
      <c r="F215" s="199"/>
      <c r="G215" s="199"/>
      <c r="H215" s="199"/>
      <c r="I215" s="199"/>
      <c r="J215" s="199"/>
      <c r="K215" s="199"/>
      <c r="L215" s="199"/>
      <c r="M215" s="199"/>
      <c r="N215" s="199"/>
      <c r="O215" s="199"/>
    </row>
    <row r="216" spans="1:15">
      <c r="A216" s="199"/>
      <c r="B216" s="199"/>
      <c r="C216" s="199"/>
      <c r="D216" s="199"/>
      <c r="E216" s="199"/>
      <c r="F216" s="199"/>
      <c r="G216" s="199"/>
      <c r="H216" s="199"/>
      <c r="I216" s="199"/>
      <c r="J216" s="199"/>
      <c r="K216" s="199"/>
      <c r="L216" s="199"/>
      <c r="M216" s="199"/>
      <c r="N216" s="199"/>
      <c r="O216" s="199"/>
    </row>
    <row r="217" spans="1:15">
      <c r="A217" s="199"/>
      <c r="B217" s="199"/>
      <c r="C217" s="199"/>
      <c r="D217" s="199"/>
      <c r="E217" s="199"/>
      <c r="F217" s="199"/>
      <c r="G217" s="199"/>
      <c r="H217" s="199"/>
      <c r="I217" s="199"/>
      <c r="J217" s="199"/>
      <c r="K217" s="199"/>
      <c r="L217" s="199"/>
      <c r="M217" s="199"/>
      <c r="N217" s="199"/>
      <c r="O217" s="199"/>
    </row>
    <row r="218" spans="1:15">
      <c r="A218" s="199"/>
      <c r="B218" s="199"/>
      <c r="C218" s="199"/>
      <c r="D218" s="199"/>
      <c r="E218" s="199"/>
      <c r="F218" s="199"/>
      <c r="G218" s="199"/>
      <c r="H218" s="199"/>
      <c r="I218" s="199"/>
      <c r="J218" s="199"/>
      <c r="K218" s="199"/>
      <c r="L218" s="199"/>
      <c r="M218" s="199"/>
      <c r="N218" s="199"/>
      <c r="O218" s="199"/>
    </row>
    <row r="219" spans="1:15">
      <c r="A219" s="199"/>
      <c r="B219" s="199"/>
      <c r="C219" s="199"/>
      <c r="D219" s="199"/>
      <c r="E219" s="199"/>
      <c r="F219" s="199"/>
      <c r="G219" s="199"/>
      <c r="H219" s="199"/>
      <c r="I219" s="199"/>
      <c r="J219" s="199"/>
      <c r="K219" s="199"/>
      <c r="L219" s="199"/>
      <c r="M219" s="199"/>
      <c r="N219" s="199"/>
      <c r="O219" s="199"/>
    </row>
    <row r="220" spans="1:15">
      <c r="A220" s="199"/>
      <c r="B220" s="199"/>
      <c r="C220" s="199"/>
      <c r="D220" s="199"/>
      <c r="E220" s="199"/>
      <c r="F220" s="199"/>
      <c r="G220" s="199"/>
      <c r="H220" s="199"/>
      <c r="I220" s="199"/>
      <c r="J220" s="199"/>
      <c r="K220" s="199"/>
      <c r="L220" s="199"/>
      <c r="M220" s="199"/>
      <c r="N220" s="199"/>
      <c r="O220" s="199"/>
    </row>
    <row r="221" spans="1:15">
      <c r="A221" s="199"/>
      <c r="B221" s="199"/>
      <c r="C221" s="199"/>
      <c r="D221" s="199"/>
      <c r="E221" s="199"/>
      <c r="F221" s="199"/>
      <c r="G221" s="199"/>
      <c r="H221" s="199"/>
      <c r="I221" s="199"/>
      <c r="J221" s="199"/>
      <c r="K221" s="199"/>
      <c r="L221" s="199"/>
      <c r="M221" s="199"/>
      <c r="N221" s="199"/>
      <c r="O221" s="199"/>
    </row>
    <row r="222" spans="1:15">
      <c r="A222" s="199"/>
      <c r="B222" s="199"/>
      <c r="C222" s="199"/>
      <c r="D222" s="199"/>
      <c r="E222" s="199"/>
      <c r="F222" s="199"/>
      <c r="G222" s="199"/>
      <c r="H222" s="199"/>
      <c r="I222" s="199"/>
      <c r="J222" s="199"/>
      <c r="K222" s="199"/>
      <c r="L222" s="199"/>
      <c r="M222" s="199"/>
      <c r="N222" s="199"/>
      <c r="O222" s="199"/>
    </row>
    <row r="223" spans="1:15">
      <c r="A223" s="199"/>
      <c r="B223" s="199"/>
      <c r="C223" s="199"/>
      <c r="D223" s="199"/>
      <c r="E223" s="199"/>
      <c r="F223" s="199"/>
      <c r="G223" s="199"/>
      <c r="H223" s="199"/>
      <c r="I223" s="199"/>
      <c r="J223" s="199"/>
      <c r="K223" s="199"/>
      <c r="L223" s="199"/>
      <c r="M223" s="199"/>
      <c r="N223" s="199"/>
      <c r="O223" s="199"/>
    </row>
    <row r="224" spans="1:15">
      <c r="A224" s="199"/>
      <c r="B224" s="199"/>
      <c r="C224" s="199"/>
      <c r="D224" s="199"/>
      <c r="E224" s="199"/>
      <c r="F224" s="199"/>
      <c r="G224" s="199"/>
      <c r="H224" s="199"/>
      <c r="I224" s="199"/>
      <c r="J224" s="199"/>
      <c r="K224" s="199"/>
      <c r="L224" s="199"/>
      <c r="M224" s="199"/>
      <c r="N224" s="199"/>
      <c r="O224" s="199"/>
    </row>
    <row r="225" spans="1:15">
      <c r="A225" s="199"/>
      <c r="B225" s="199"/>
      <c r="C225" s="199"/>
      <c r="D225" s="199"/>
      <c r="E225" s="199"/>
      <c r="F225" s="199"/>
      <c r="G225" s="199"/>
      <c r="H225" s="199"/>
      <c r="I225" s="199"/>
      <c r="J225" s="199"/>
      <c r="K225" s="199"/>
      <c r="L225" s="199"/>
      <c r="M225" s="199"/>
      <c r="N225" s="199"/>
      <c r="O225" s="199"/>
    </row>
    <row r="226" spans="1:15">
      <c r="A226" s="199"/>
      <c r="B226" s="199"/>
      <c r="C226" s="199"/>
      <c r="D226" s="199"/>
      <c r="E226" s="199"/>
      <c r="F226" s="199"/>
      <c r="G226" s="199"/>
      <c r="H226" s="199"/>
      <c r="I226" s="199"/>
      <c r="J226" s="199"/>
      <c r="K226" s="199"/>
      <c r="L226" s="199"/>
      <c r="M226" s="199"/>
      <c r="N226" s="199"/>
      <c r="O226" s="199"/>
    </row>
    <row r="227" spans="1:15">
      <c r="A227" s="199"/>
      <c r="B227" s="199"/>
      <c r="C227" s="199"/>
      <c r="D227" s="199"/>
      <c r="E227" s="199"/>
      <c r="F227" s="199"/>
      <c r="G227" s="199"/>
      <c r="H227" s="199"/>
      <c r="I227" s="199"/>
      <c r="J227" s="199"/>
      <c r="K227" s="199"/>
      <c r="L227" s="199"/>
      <c r="M227" s="199"/>
      <c r="N227" s="199"/>
      <c r="O227" s="199"/>
    </row>
    <row r="228" spans="1:15">
      <c r="A228" s="199"/>
      <c r="B228" s="199"/>
      <c r="C228" s="199"/>
      <c r="D228" s="199"/>
      <c r="E228" s="199"/>
      <c r="F228" s="199"/>
      <c r="G228" s="199"/>
      <c r="H228" s="199"/>
      <c r="I228" s="199"/>
      <c r="J228" s="199"/>
      <c r="K228" s="199"/>
      <c r="L228" s="199"/>
      <c r="M228" s="199"/>
      <c r="N228" s="199"/>
      <c r="O228" s="199"/>
    </row>
    <row r="229" spans="1:15">
      <c r="A229" s="199"/>
      <c r="B229" s="199"/>
      <c r="C229" s="199"/>
      <c r="D229" s="199"/>
      <c r="E229" s="199"/>
      <c r="F229" s="199"/>
      <c r="G229" s="199"/>
      <c r="H229" s="199"/>
      <c r="I229" s="199"/>
      <c r="J229" s="199"/>
      <c r="K229" s="199"/>
      <c r="L229" s="199"/>
      <c r="M229" s="199"/>
      <c r="N229" s="199"/>
      <c r="O229" s="199"/>
    </row>
    <row r="230" spans="1:15">
      <c r="A230" s="199"/>
      <c r="B230" s="199"/>
      <c r="C230" s="199"/>
      <c r="D230" s="199"/>
      <c r="E230" s="199"/>
      <c r="F230" s="199"/>
      <c r="G230" s="199"/>
      <c r="H230" s="199"/>
      <c r="I230" s="199"/>
      <c r="J230" s="199"/>
      <c r="K230" s="199"/>
      <c r="L230" s="199"/>
      <c r="M230" s="199"/>
      <c r="N230" s="199"/>
      <c r="O230" s="199"/>
    </row>
    <row r="231" spans="1:15">
      <c r="A231" s="199"/>
      <c r="B231" s="199"/>
      <c r="C231" s="199"/>
      <c r="D231" s="199"/>
      <c r="E231" s="199"/>
      <c r="F231" s="199"/>
      <c r="G231" s="199"/>
      <c r="H231" s="199"/>
      <c r="I231" s="199"/>
      <c r="J231" s="199"/>
      <c r="K231" s="199"/>
      <c r="L231" s="199"/>
      <c r="M231" s="199"/>
      <c r="N231" s="199"/>
      <c r="O231" s="199"/>
    </row>
    <row r="232" spans="1:15">
      <c r="A232" s="199"/>
      <c r="B232" s="199"/>
      <c r="C232" s="199"/>
      <c r="D232" s="199"/>
      <c r="E232" s="199"/>
      <c r="F232" s="199"/>
      <c r="G232" s="199"/>
      <c r="H232" s="199"/>
      <c r="I232" s="199"/>
      <c r="J232" s="199"/>
      <c r="K232" s="199"/>
      <c r="L232" s="199"/>
      <c r="M232" s="199"/>
      <c r="N232" s="199"/>
      <c r="O232" s="199"/>
    </row>
    <row r="233" spans="1:15">
      <c r="A233" s="199"/>
      <c r="B233" s="199"/>
      <c r="C233" s="199"/>
      <c r="D233" s="199"/>
      <c r="E233" s="199"/>
      <c r="F233" s="199"/>
      <c r="G233" s="199"/>
      <c r="H233" s="199"/>
      <c r="I233" s="199"/>
      <c r="J233" s="199"/>
      <c r="K233" s="199"/>
      <c r="L233" s="199"/>
      <c r="M233" s="199"/>
      <c r="N233" s="199"/>
      <c r="O233" s="199"/>
    </row>
    <row r="234" spans="1:15">
      <c r="A234" s="199"/>
      <c r="B234" s="199"/>
      <c r="C234" s="199"/>
      <c r="D234" s="199"/>
      <c r="E234" s="199"/>
      <c r="F234" s="199"/>
      <c r="G234" s="199"/>
      <c r="H234" s="199"/>
      <c r="I234" s="199"/>
      <c r="J234" s="199"/>
      <c r="K234" s="199"/>
      <c r="L234" s="199"/>
      <c r="M234" s="199"/>
      <c r="N234" s="199"/>
      <c r="O234" s="199"/>
    </row>
    <row r="235" spans="1:15">
      <c r="A235" s="199"/>
      <c r="B235" s="199"/>
      <c r="C235" s="199"/>
      <c r="D235" s="199"/>
      <c r="E235" s="199"/>
      <c r="F235" s="199"/>
      <c r="G235" s="199"/>
      <c r="H235" s="199"/>
      <c r="I235" s="199"/>
      <c r="J235" s="199"/>
      <c r="K235" s="199"/>
      <c r="L235" s="199"/>
      <c r="M235" s="199"/>
      <c r="N235" s="199"/>
      <c r="O235" s="199"/>
    </row>
    <row r="236" spans="1:15">
      <c r="A236" s="199"/>
      <c r="B236" s="199"/>
      <c r="C236" s="199"/>
      <c r="D236" s="199"/>
      <c r="E236" s="199"/>
      <c r="F236" s="199"/>
      <c r="G236" s="199"/>
      <c r="H236" s="199"/>
      <c r="I236" s="199"/>
      <c r="J236" s="199"/>
      <c r="K236" s="199"/>
      <c r="L236" s="199"/>
      <c r="M236" s="199"/>
      <c r="N236" s="199"/>
      <c r="O236" s="199"/>
    </row>
    <row r="237" spans="1:15">
      <c r="A237" s="199"/>
      <c r="B237" s="199"/>
      <c r="C237" s="199"/>
      <c r="D237" s="199"/>
      <c r="E237" s="199"/>
      <c r="F237" s="199"/>
      <c r="G237" s="199"/>
      <c r="H237" s="199"/>
      <c r="I237" s="199"/>
      <c r="J237" s="199"/>
      <c r="K237" s="199"/>
      <c r="L237" s="199"/>
      <c r="M237" s="199"/>
      <c r="N237" s="199"/>
      <c r="O237" s="199"/>
    </row>
    <row r="238" spans="1:15">
      <c r="A238" s="199"/>
      <c r="B238" s="199"/>
      <c r="C238" s="199"/>
      <c r="D238" s="199"/>
      <c r="E238" s="199"/>
      <c r="F238" s="199"/>
      <c r="G238" s="199"/>
      <c r="H238" s="199"/>
      <c r="I238" s="199"/>
      <c r="J238" s="199"/>
      <c r="K238" s="199"/>
      <c r="L238" s="199"/>
      <c r="M238" s="199"/>
      <c r="N238" s="199"/>
      <c r="O238" s="199"/>
    </row>
    <row r="239" spans="1:15">
      <c r="A239" s="199"/>
      <c r="B239" s="199"/>
      <c r="C239" s="199"/>
      <c r="D239" s="199"/>
      <c r="E239" s="199"/>
      <c r="F239" s="199"/>
      <c r="G239" s="199"/>
      <c r="H239" s="199"/>
      <c r="I239" s="199"/>
      <c r="J239" s="199"/>
      <c r="K239" s="199"/>
      <c r="L239" s="199"/>
      <c r="M239" s="199"/>
      <c r="N239" s="199"/>
      <c r="O239" s="199"/>
    </row>
    <row r="240" spans="1:15">
      <c r="A240" s="199"/>
      <c r="B240" s="199"/>
      <c r="C240" s="199"/>
      <c r="D240" s="199"/>
      <c r="E240" s="199"/>
      <c r="F240" s="199"/>
      <c r="G240" s="199"/>
      <c r="H240" s="199"/>
      <c r="I240" s="199"/>
      <c r="J240" s="199"/>
      <c r="K240" s="199"/>
      <c r="L240" s="199"/>
      <c r="M240" s="199"/>
      <c r="N240" s="199"/>
      <c r="O240" s="199"/>
    </row>
    <row r="241" spans="1:15">
      <c r="A241" s="199"/>
      <c r="B241" s="199"/>
      <c r="C241" s="199"/>
      <c r="D241" s="199"/>
      <c r="E241" s="199"/>
      <c r="F241" s="199"/>
      <c r="G241" s="199"/>
      <c r="H241" s="199"/>
      <c r="I241" s="199"/>
      <c r="J241" s="199"/>
      <c r="K241" s="199"/>
      <c r="L241" s="199"/>
      <c r="M241" s="199"/>
      <c r="N241" s="199"/>
      <c r="O241" s="199"/>
    </row>
    <row r="242" spans="1:15">
      <c r="A242" s="199"/>
      <c r="B242" s="199"/>
      <c r="C242" s="199"/>
      <c r="D242" s="199"/>
      <c r="E242" s="199"/>
      <c r="F242" s="199"/>
      <c r="G242" s="199"/>
      <c r="H242" s="199"/>
      <c r="I242" s="199"/>
      <c r="J242" s="199"/>
      <c r="K242" s="199"/>
      <c r="L242" s="199"/>
      <c r="M242" s="199"/>
      <c r="N242" s="199"/>
      <c r="O242" s="199"/>
    </row>
    <row r="243" spans="1:15">
      <c r="A243" s="199"/>
      <c r="B243" s="199"/>
      <c r="C243" s="199"/>
      <c r="D243" s="199"/>
      <c r="E243" s="199"/>
      <c r="F243" s="199"/>
      <c r="G243" s="199"/>
      <c r="H243" s="199"/>
      <c r="I243" s="199"/>
      <c r="J243" s="199"/>
      <c r="K243" s="199"/>
      <c r="L243" s="199"/>
      <c r="M243" s="199"/>
      <c r="N243" s="199"/>
      <c r="O243" s="199"/>
    </row>
    <row r="244" spans="1:15">
      <c r="A244" s="199"/>
      <c r="B244" s="199"/>
      <c r="C244" s="199"/>
      <c r="D244" s="199"/>
      <c r="E244" s="199"/>
      <c r="F244" s="199"/>
      <c r="G244" s="199"/>
      <c r="H244" s="199"/>
      <c r="I244" s="199"/>
      <c r="J244" s="199"/>
      <c r="K244" s="199"/>
      <c r="L244" s="199"/>
      <c r="M244" s="199"/>
      <c r="N244" s="199"/>
      <c r="O244" s="199"/>
    </row>
    <row r="245" spans="1:15">
      <c r="A245" s="199"/>
      <c r="B245" s="199"/>
      <c r="C245" s="199"/>
      <c r="D245" s="199"/>
      <c r="E245" s="199"/>
      <c r="F245" s="199"/>
      <c r="G245" s="199"/>
      <c r="H245" s="199"/>
      <c r="I245" s="199"/>
      <c r="J245" s="199"/>
      <c r="K245" s="199"/>
      <c r="L245" s="199"/>
      <c r="M245" s="199"/>
      <c r="N245" s="199"/>
      <c r="O245" s="199"/>
    </row>
    <row r="246" spans="1:15">
      <c r="A246" s="199"/>
      <c r="B246" s="199"/>
      <c r="C246" s="199"/>
      <c r="D246" s="199"/>
      <c r="E246" s="199"/>
      <c r="F246" s="199"/>
      <c r="G246" s="199"/>
      <c r="H246" s="199"/>
      <c r="I246" s="199"/>
      <c r="J246" s="199"/>
      <c r="K246" s="199"/>
      <c r="L246" s="199"/>
      <c r="M246" s="199"/>
      <c r="N246" s="199"/>
      <c r="O246" s="199"/>
    </row>
    <row r="247" spans="1:15">
      <c r="A247" s="199"/>
      <c r="B247" s="199"/>
      <c r="C247" s="199"/>
      <c r="D247" s="199"/>
      <c r="E247" s="199"/>
      <c r="F247" s="199"/>
      <c r="G247" s="199"/>
      <c r="H247" s="199"/>
      <c r="I247" s="199"/>
      <c r="J247" s="199"/>
      <c r="K247" s="199"/>
      <c r="L247" s="199"/>
      <c r="M247" s="199"/>
      <c r="N247" s="199"/>
      <c r="O247" s="199"/>
    </row>
    <row r="248" spans="1:15">
      <c r="A248" s="199"/>
      <c r="B248" s="199"/>
      <c r="C248" s="199"/>
      <c r="D248" s="199"/>
      <c r="E248" s="199"/>
      <c r="F248" s="199"/>
      <c r="G248" s="199"/>
      <c r="H248" s="199"/>
      <c r="I248" s="199"/>
      <c r="J248" s="199"/>
      <c r="K248" s="199"/>
      <c r="L248" s="199"/>
      <c r="M248" s="199"/>
      <c r="N248" s="199"/>
      <c r="O248" s="199"/>
    </row>
    <row r="249" spans="1:15">
      <c r="A249" s="199"/>
      <c r="B249" s="199"/>
      <c r="C249" s="199"/>
      <c r="D249" s="199"/>
      <c r="E249" s="199"/>
      <c r="F249" s="199"/>
      <c r="G249" s="199"/>
      <c r="H249" s="199"/>
      <c r="I249" s="199"/>
      <c r="J249" s="199"/>
      <c r="K249" s="199"/>
      <c r="L249" s="199"/>
      <c r="M249" s="199"/>
      <c r="N249" s="199"/>
      <c r="O249" s="199"/>
    </row>
    <row r="250" spans="1:15">
      <c r="A250" s="199"/>
      <c r="B250" s="199"/>
      <c r="C250" s="199"/>
      <c r="D250" s="199"/>
      <c r="E250" s="199"/>
      <c r="F250" s="199"/>
      <c r="G250" s="199"/>
      <c r="H250" s="199"/>
      <c r="I250" s="199"/>
      <c r="J250" s="199"/>
      <c r="K250" s="199"/>
      <c r="L250" s="199"/>
      <c r="M250" s="199"/>
      <c r="N250" s="199"/>
      <c r="O250" s="199"/>
    </row>
    <row r="251" spans="1:15">
      <c r="A251" s="199"/>
      <c r="B251" s="199"/>
      <c r="C251" s="199"/>
      <c r="D251" s="199"/>
      <c r="E251" s="199"/>
      <c r="F251" s="199"/>
      <c r="G251" s="199"/>
      <c r="H251" s="199"/>
      <c r="I251" s="199"/>
      <c r="J251" s="199"/>
      <c r="K251" s="199"/>
      <c r="L251" s="199"/>
      <c r="M251" s="199"/>
      <c r="N251" s="199"/>
      <c r="O251" s="199"/>
    </row>
    <row r="252" spans="1:15">
      <c r="A252" s="199"/>
      <c r="B252" s="199"/>
      <c r="C252" s="199"/>
      <c r="D252" s="199"/>
      <c r="E252" s="199"/>
      <c r="F252" s="199"/>
      <c r="G252" s="199"/>
      <c r="H252" s="199"/>
      <c r="I252" s="199"/>
      <c r="J252" s="199"/>
      <c r="K252" s="199"/>
      <c r="L252" s="199"/>
      <c r="M252" s="199"/>
      <c r="N252" s="199"/>
      <c r="O252" s="199"/>
    </row>
    <row r="253" spans="1:15">
      <c r="A253" s="199"/>
      <c r="B253" s="199"/>
      <c r="C253" s="199"/>
      <c r="D253" s="199"/>
      <c r="E253" s="199"/>
      <c r="F253" s="199"/>
      <c r="G253" s="199"/>
      <c r="H253" s="199"/>
      <c r="I253" s="199"/>
      <c r="J253" s="199"/>
      <c r="K253" s="199"/>
      <c r="L253" s="199"/>
      <c r="M253" s="199"/>
      <c r="N253" s="199"/>
      <c r="O253" s="199"/>
    </row>
    <row r="254" spans="1:15">
      <c r="A254" s="199"/>
      <c r="B254" s="199"/>
      <c r="C254" s="199"/>
      <c r="D254" s="199"/>
      <c r="E254" s="199"/>
      <c r="F254" s="199"/>
      <c r="G254" s="199"/>
      <c r="H254" s="199"/>
      <c r="I254" s="199"/>
      <c r="J254" s="199"/>
      <c r="K254" s="199"/>
      <c r="L254" s="199"/>
      <c r="M254" s="199"/>
      <c r="N254" s="199"/>
      <c r="O254" s="199"/>
    </row>
    <row r="255" spans="1:15">
      <c r="A255" s="199"/>
      <c r="B255" s="199"/>
      <c r="C255" s="199"/>
      <c r="D255" s="199"/>
      <c r="E255" s="199"/>
      <c r="F255" s="199"/>
      <c r="G255" s="199"/>
      <c r="H255" s="199"/>
      <c r="I255" s="199"/>
      <c r="J255" s="199"/>
      <c r="K255" s="199"/>
      <c r="L255" s="199"/>
      <c r="M255" s="199"/>
      <c r="N255" s="199"/>
      <c r="O255" s="199"/>
    </row>
    <row r="256" spans="1:15">
      <c r="A256" s="199"/>
      <c r="B256" s="199"/>
      <c r="C256" s="199"/>
      <c r="D256" s="199"/>
      <c r="E256" s="199"/>
      <c r="F256" s="199"/>
      <c r="G256" s="199"/>
      <c r="H256" s="199"/>
      <c r="I256" s="199"/>
      <c r="J256" s="199"/>
      <c r="K256" s="199"/>
      <c r="L256" s="199"/>
      <c r="M256" s="199"/>
      <c r="N256" s="199"/>
      <c r="O256" s="199"/>
    </row>
    <row r="257" spans="1:15">
      <c r="A257" s="199"/>
      <c r="B257" s="199"/>
      <c r="C257" s="199"/>
      <c r="D257" s="199"/>
      <c r="E257" s="199"/>
      <c r="F257" s="199"/>
      <c r="G257" s="199"/>
      <c r="H257" s="199"/>
      <c r="I257" s="199"/>
      <c r="J257" s="199"/>
      <c r="K257" s="199"/>
      <c r="L257" s="199"/>
      <c r="M257" s="199"/>
      <c r="N257" s="199"/>
      <c r="O257" s="199"/>
    </row>
    <row r="258" spans="1:15">
      <c r="A258" s="199"/>
      <c r="B258" s="199"/>
      <c r="C258" s="199"/>
      <c r="D258" s="199"/>
      <c r="E258" s="199"/>
      <c r="F258" s="199"/>
      <c r="G258" s="199"/>
      <c r="H258" s="199"/>
      <c r="I258" s="199"/>
      <c r="J258" s="199"/>
      <c r="K258" s="199"/>
      <c r="L258" s="199"/>
      <c r="M258" s="199"/>
      <c r="N258" s="199"/>
      <c r="O258" s="199"/>
    </row>
    <row r="259" spans="1:15">
      <c r="A259" s="199"/>
      <c r="B259" s="199"/>
      <c r="C259" s="199"/>
      <c r="D259" s="199"/>
      <c r="E259" s="199"/>
      <c r="F259" s="199"/>
      <c r="G259" s="199"/>
      <c r="H259" s="199"/>
      <c r="I259" s="199"/>
      <c r="J259" s="199"/>
      <c r="K259" s="199"/>
      <c r="L259" s="199"/>
      <c r="M259" s="199"/>
      <c r="N259" s="199"/>
      <c r="O259" s="199"/>
    </row>
    <row r="260" spans="1:15">
      <c r="A260" s="199"/>
      <c r="B260" s="199"/>
      <c r="C260" s="199"/>
      <c r="D260" s="199"/>
      <c r="E260" s="199"/>
      <c r="F260" s="199"/>
      <c r="G260" s="199"/>
      <c r="H260" s="199"/>
      <c r="I260" s="199"/>
      <c r="J260" s="199"/>
      <c r="K260" s="199"/>
      <c r="L260" s="199"/>
      <c r="M260" s="199"/>
      <c r="N260" s="199"/>
      <c r="O260" s="199"/>
    </row>
    <row r="261" spans="1:15">
      <c r="A261" s="199"/>
      <c r="B261" s="199"/>
      <c r="C261" s="199"/>
      <c r="D261" s="199"/>
      <c r="E261" s="199"/>
      <c r="F261" s="199"/>
      <c r="G261" s="199"/>
      <c r="H261" s="199"/>
      <c r="I261" s="199"/>
      <c r="J261" s="199"/>
      <c r="K261" s="199"/>
      <c r="L261" s="199"/>
      <c r="M261" s="199"/>
      <c r="N261" s="199"/>
      <c r="O261" s="199"/>
    </row>
    <row r="262" spans="1:15">
      <c r="A262" s="199"/>
      <c r="B262" s="199"/>
      <c r="C262" s="199"/>
      <c r="D262" s="199"/>
      <c r="E262" s="199"/>
      <c r="F262" s="199"/>
      <c r="G262" s="199"/>
      <c r="H262" s="199"/>
      <c r="I262" s="199"/>
      <c r="J262" s="199"/>
      <c r="K262" s="199"/>
      <c r="L262" s="199"/>
      <c r="M262" s="199"/>
      <c r="N262" s="199"/>
      <c r="O262" s="199"/>
    </row>
    <row r="263" spans="1:15">
      <c r="A263" s="199"/>
      <c r="B263" s="199"/>
      <c r="C263" s="199"/>
      <c r="D263" s="199"/>
      <c r="E263" s="199"/>
      <c r="F263" s="199"/>
      <c r="G263" s="199"/>
      <c r="H263" s="199"/>
      <c r="I263" s="199"/>
      <c r="J263" s="199"/>
      <c r="K263" s="199"/>
      <c r="L263" s="199"/>
      <c r="M263" s="199"/>
      <c r="N263" s="199"/>
      <c r="O263" s="199"/>
    </row>
    <row r="264" spans="1:15">
      <c r="A264" s="199"/>
      <c r="B264" s="199"/>
      <c r="C264" s="199"/>
      <c r="D264" s="199"/>
      <c r="E264" s="199"/>
      <c r="F264" s="199"/>
      <c r="G264" s="199"/>
      <c r="H264" s="199"/>
      <c r="I264" s="199"/>
      <c r="J264" s="199"/>
      <c r="K264" s="199"/>
      <c r="L264" s="199"/>
      <c r="M264" s="199"/>
      <c r="N264" s="199"/>
      <c r="O264" s="199"/>
    </row>
    <row r="265" spans="1:15">
      <c r="A265" s="199"/>
      <c r="B265" s="199"/>
      <c r="C265" s="199"/>
      <c r="D265" s="199"/>
      <c r="E265" s="199"/>
      <c r="F265" s="199"/>
      <c r="G265" s="199"/>
      <c r="H265" s="199"/>
      <c r="I265" s="199"/>
      <c r="J265" s="199"/>
      <c r="K265" s="199"/>
      <c r="L265" s="199"/>
      <c r="M265" s="199"/>
      <c r="N265" s="199"/>
      <c r="O265" s="199"/>
    </row>
    <row r="266" spans="1:15">
      <c r="A266" s="199"/>
      <c r="B266" s="199"/>
      <c r="C266" s="199"/>
      <c r="D266" s="199"/>
      <c r="E266" s="199"/>
      <c r="F266" s="199"/>
      <c r="G266" s="199"/>
      <c r="H266" s="199"/>
      <c r="I266" s="199"/>
      <c r="J266" s="199"/>
      <c r="K266" s="199"/>
      <c r="L266" s="199"/>
      <c r="M266" s="199"/>
      <c r="N266" s="199"/>
      <c r="O266" s="199"/>
    </row>
    <row r="267" spans="1:15">
      <c r="A267" s="199"/>
      <c r="B267" s="199"/>
      <c r="C267" s="199"/>
      <c r="D267" s="199"/>
      <c r="E267" s="199"/>
      <c r="F267" s="199"/>
      <c r="G267" s="199"/>
      <c r="H267" s="199"/>
      <c r="I267" s="199"/>
      <c r="J267" s="199"/>
      <c r="K267" s="199"/>
      <c r="L267" s="199"/>
      <c r="M267" s="199"/>
      <c r="N267" s="199"/>
      <c r="O267" s="199"/>
    </row>
    <row r="268" spans="1:15">
      <c r="A268" s="199"/>
      <c r="B268" s="199"/>
      <c r="C268" s="199"/>
      <c r="D268" s="199"/>
      <c r="E268" s="199"/>
      <c r="F268" s="199"/>
      <c r="G268" s="199"/>
      <c r="H268" s="199"/>
      <c r="I268" s="199"/>
      <c r="J268" s="199"/>
      <c r="K268" s="199"/>
      <c r="L268" s="199"/>
      <c r="M268" s="199"/>
      <c r="N268" s="199"/>
      <c r="O268" s="199"/>
    </row>
    <row r="269" spans="1:15">
      <c r="A269" s="199"/>
      <c r="B269" s="199"/>
      <c r="C269" s="199"/>
      <c r="D269" s="199"/>
      <c r="E269" s="199"/>
      <c r="F269" s="199"/>
      <c r="G269" s="199"/>
      <c r="H269" s="199"/>
      <c r="I269" s="199"/>
      <c r="J269" s="199"/>
      <c r="K269" s="199"/>
      <c r="L269" s="199"/>
      <c r="M269" s="199"/>
      <c r="N269" s="199"/>
      <c r="O269" s="199"/>
    </row>
  </sheetData>
  <mergeCells count="22">
    <mergeCell ref="C126:K130"/>
    <mergeCell ref="C109:K113"/>
    <mergeCell ref="F68:H68"/>
    <mergeCell ref="F70:H70"/>
    <mergeCell ref="C76:K84"/>
    <mergeCell ref="D60:E60"/>
    <mergeCell ref="I37:J37"/>
    <mergeCell ref="C98:K105"/>
    <mergeCell ref="C27:J27"/>
    <mergeCell ref="C31:J31"/>
    <mergeCell ref="C32:D32"/>
    <mergeCell ref="F69:H69"/>
    <mergeCell ref="H11:I11"/>
    <mergeCell ref="H43:K43"/>
    <mergeCell ref="E29:F29"/>
    <mergeCell ref="C56:D56"/>
    <mergeCell ref="C2:J2"/>
    <mergeCell ref="C4:J4"/>
    <mergeCell ref="C5:J5"/>
    <mergeCell ref="C8:K10"/>
    <mergeCell ref="F11:G11"/>
    <mergeCell ref="J56:K56"/>
  </mergeCells>
  <conditionalFormatting sqref="G29">
    <cfRule type="expression" dxfId="13" priority="15" stopIfTrue="1">
      <formula>$E$29="Average Cost:"</formula>
    </cfRule>
  </conditionalFormatting>
  <conditionalFormatting sqref="I36">
    <cfRule type="expression" dxfId="12" priority="14" stopIfTrue="1">
      <formula>$F$36="Yes"</formula>
    </cfRule>
  </conditionalFormatting>
  <conditionalFormatting sqref="I39">
    <cfRule type="expression" dxfId="11" priority="12" stopIfTrue="1">
      <formula>$F$39="Yes"</formula>
    </cfRule>
  </conditionalFormatting>
  <conditionalFormatting sqref="I40">
    <cfRule type="expression" dxfId="10" priority="11" stopIfTrue="1">
      <formula>$F$40="Yes"</formula>
    </cfRule>
  </conditionalFormatting>
  <conditionalFormatting sqref="I41">
    <cfRule type="expression" dxfId="9" priority="10" stopIfTrue="1">
      <formula>$F$41="Yes"</formula>
    </cfRule>
  </conditionalFormatting>
  <conditionalFormatting sqref="K41">
    <cfRule type="expression" dxfId="8" priority="9" stopIfTrue="1">
      <formula>$F$41="Yes"</formula>
    </cfRule>
  </conditionalFormatting>
  <conditionalFormatting sqref="I42">
    <cfRule type="expression" dxfId="7" priority="8" stopIfTrue="1">
      <formula>$F$42="Yes"</formula>
    </cfRule>
  </conditionalFormatting>
  <conditionalFormatting sqref="H43:K43">
    <cfRule type="expression" dxfId="6" priority="7" stopIfTrue="1">
      <formula>$F$43="Yes"</formula>
    </cfRule>
  </conditionalFormatting>
  <conditionalFormatting sqref="I38">
    <cfRule type="expression" dxfId="5" priority="6" stopIfTrue="1">
      <formula>$F$36="Yes"</formula>
    </cfRule>
  </conditionalFormatting>
  <conditionalFormatting sqref="J56:K56">
    <cfRule type="expression" dxfId="4" priority="5" stopIfTrue="1">
      <formula>$F$56&lt;&gt;" "</formula>
    </cfRule>
  </conditionalFormatting>
  <conditionalFormatting sqref="K57">
    <cfRule type="expression" dxfId="3" priority="4" stopIfTrue="1">
      <formula>$C$56="Combination"</formula>
    </cfRule>
  </conditionalFormatting>
  <conditionalFormatting sqref="D60:E60">
    <cfRule type="expression" dxfId="2" priority="3" stopIfTrue="1">
      <formula>$F$56&lt;&gt;" "</formula>
    </cfRule>
  </conditionalFormatting>
  <conditionalFormatting sqref="I60">
    <cfRule type="expression" dxfId="1" priority="2" stopIfTrue="1">
      <formula>$D$60="Yes - including vacant lots"</formula>
    </cfRule>
  </conditionalFormatting>
  <conditionalFormatting sqref="I37:J37">
    <cfRule type="expression" dxfId="0" priority="1" stopIfTrue="1">
      <formula>$F$36="Yes"</formula>
    </cfRule>
  </conditionalFormatting>
  <dataValidations count="8">
    <dataValidation type="list" allowBlank="1" showInputMessage="1" showErrorMessage="1" sqref="C27">
      <formula1>"No, Yes - Based on Actual Cost, Yes - Based on the average cost to install a 3/4"" or 1"" water service for a residential customer"</formula1>
    </dataValidation>
    <dataValidation type="list" allowBlank="1" showInputMessage="1" showErrorMessage="1" sqref="C32:D32">
      <formula1>"3% one time charge, 1% per month charge"</formula1>
    </dataValidation>
    <dataValidation type="list" allowBlank="1" showInputMessage="1" showErrorMessage="1" sqref="F36 F39:F43 F71 I73">
      <formula1>"Yes, No"</formula1>
    </dataValidation>
    <dataValidation type="list" allowBlank="1" showInputMessage="1" showErrorMessage="1" sqref="I37">
      <formula1>"Yes, No - water rates only"</formula1>
    </dataValidation>
    <dataValidation type="list" allowBlank="1" showInputMessage="1" showErrorMessage="1" sqref="C56:D56">
      <formula1>"Municipal Charge, Direct Charge on Water Bill, Combination"</formula1>
    </dataValidation>
    <dataValidation type="list" allowBlank="1" showInputMessage="1" showErrorMessage="1" sqref="D60">
      <formula1>"No, Yes - including vacant lots"</formula1>
    </dataValidation>
    <dataValidation type="list" allowBlank="1" showInputMessage="1" showErrorMessage="1" sqref="F68:F70 G68:H68 G70:H70">
      <formula1>"Declining Block Rate, Uniform Rate, Inclining Block Rate, Seasonal Rate, Other"</formula1>
    </dataValidation>
    <dataValidation type="list" allowBlank="1" showInputMessage="1" showErrorMessage="1" sqref="J56:K56">
      <formula1>"Equivalent Meter, Equivalent Service, Square Footage, Property Value, Other"</formula1>
    </dataValidation>
  </dataValidations>
  <pageMargins left="0.7" right="0.7" top="0.75" bottom="0.75" header="0.3" footer="0.3"/>
  <pageSetup scale="68" orientation="portrait" blackAndWhite="1" r:id="rId1"/>
  <headerFooter alignWithMargins="0"/>
  <rowBreaks count="1" manualBreakCount="1">
    <brk id="50" max="12" man="1"/>
  </rowBreaks>
  <legacyDrawing r:id="rId2"/>
  <controls>
    <control shapeId="23555" r:id="rId3" name="CommandButton1"/>
  </controls>
</worksheet>
</file>

<file path=xl/worksheets/sheet31.xml><?xml version="1.0" encoding="utf-8"?>
<worksheet xmlns="http://schemas.openxmlformats.org/spreadsheetml/2006/main" xmlns:r="http://schemas.openxmlformats.org/officeDocument/2006/relationships">
  <sheetPr codeName="Sheet73">
    <pageSetUpPr fitToPage="1"/>
  </sheetPr>
  <dimension ref="A1:N425"/>
  <sheetViews>
    <sheetView showGridLines="0" zoomScaleNormal="100" workbookViewId="0">
      <selection activeCell="K25" sqref="K25"/>
    </sheetView>
  </sheetViews>
  <sheetFormatPr defaultRowHeight="12.75"/>
  <cols>
    <col min="1" max="2" width="9.140625" style="2"/>
    <col min="3" max="3" width="22.42578125" style="2" customWidth="1"/>
    <col min="4" max="7" width="12.7109375" style="2" customWidth="1"/>
    <col min="8" max="10" width="9.140625" style="2"/>
    <col min="11" max="14" width="9.140625" style="1474"/>
    <col min="15" max="16384" width="9.140625" style="2"/>
  </cols>
  <sheetData>
    <row r="1" spans="1:10">
      <c r="A1" s="1112"/>
      <c r="B1" s="714" t="str">
        <f>TestYear &amp; " Test Year"</f>
        <v>2015 Test Year</v>
      </c>
      <c r="C1" s="671"/>
      <c r="D1" s="671"/>
      <c r="E1" s="671"/>
      <c r="F1" s="671"/>
      <c r="G1" s="1001" t="s">
        <v>793</v>
      </c>
      <c r="H1" s="1135"/>
      <c r="I1" s="1112"/>
      <c r="J1" s="1112"/>
    </row>
    <row r="2" spans="1:10">
      <c r="A2" s="1112"/>
      <c r="B2" s="671"/>
      <c r="C2" s="671"/>
      <c r="D2" s="671"/>
      <c r="E2" s="671"/>
      <c r="F2" s="671"/>
      <c r="G2" s="671"/>
      <c r="H2" s="671"/>
      <c r="I2" s="186"/>
      <c r="J2" s="1112"/>
    </row>
    <row r="3" spans="1:10" ht="15" customHeight="1">
      <c r="A3" s="1112"/>
      <c r="B3" s="2052" t="str">
        <f>Utility</f>
        <v>MADISON WATER UTILITY</v>
      </c>
      <c r="C3" s="2052"/>
      <c r="D3" s="2052"/>
      <c r="E3" s="2052"/>
      <c r="F3" s="2052"/>
      <c r="G3" s="2052"/>
      <c r="H3" s="2052"/>
      <c r="I3" s="185"/>
      <c r="J3" s="1112"/>
    </row>
    <row r="4" spans="1:10" ht="15" customHeight="1">
      <c r="A4" s="1112"/>
      <c r="B4" s="1979" t="s">
        <v>794</v>
      </c>
      <c r="C4" s="1979"/>
      <c r="D4" s="1979"/>
      <c r="E4" s="1979"/>
      <c r="F4" s="1979"/>
      <c r="G4" s="1979"/>
      <c r="H4" s="1979"/>
      <c r="I4" s="661"/>
      <c r="J4" s="1112"/>
    </row>
    <row r="5" spans="1:10" ht="15.75" customHeight="1" thickBot="1">
      <c r="A5" s="1112"/>
      <c r="B5" s="2105" t="str">
        <f>CONCATENATE("Test Year ",TestYear)</f>
        <v>Test Year 2015</v>
      </c>
      <c r="C5" s="2105"/>
      <c r="D5" s="2105"/>
      <c r="E5" s="2105"/>
      <c r="F5" s="2105"/>
      <c r="G5" s="2105"/>
      <c r="H5" s="2105"/>
      <c r="I5" s="661"/>
      <c r="J5" s="1112"/>
    </row>
    <row r="6" spans="1:10" ht="13.5" thickTop="1">
      <c r="A6" s="1112"/>
      <c r="B6" s="1124"/>
      <c r="C6" s="1125"/>
      <c r="D6" s="1125"/>
      <c r="E6" s="1125"/>
      <c r="F6" s="1125"/>
      <c r="G6" s="1125"/>
      <c r="H6" s="1126"/>
      <c r="I6" s="1113"/>
      <c r="J6" s="1112"/>
    </row>
    <row r="7" spans="1:10">
      <c r="A7" s="1112"/>
      <c r="B7" s="1127"/>
      <c r="C7" s="1114"/>
      <c r="D7" s="1114"/>
      <c r="E7" s="1114"/>
      <c r="F7" s="1114"/>
      <c r="G7" s="1114"/>
      <c r="H7" s="1128"/>
      <c r="I7" s="1113"/>
      <c r="J7" s="1112"/>
    </row>
    <row r="8" spans="1:10">
      <c r="A8" s="1112"/>
      <c r="B8" s="1127"/>
      <c r="C8" s="1114" t="s">
        <v>991</v>
      </c>
      <c r="D8" s="1114"/>
      <c r="E8" s="1114"/>
      <c r="F8" s="1114"/>
      <c r="G8" s="1114"/>
      <c r="H8" s="1128"/>
      <c r="I8" s="1112"/>
      <c r="J8" s="1112"/>
    </row>
    <row r="9" spans="1:10">
      <c r="A9" s="1112"/>
      <c r="B9" s="1127"/>
      <c r="C9" s="1114" t="s">
        <v>990</v>
      </c>
      <c r="D9" s="1114"/>
      <c r="E9" s="1114"/>
      <c r="F9" s="1114"/>
      <c r="G9" s="1114"/>
      <c r="H9" s="1128"/>
      <c r="I9" s="1112"/>
      <c r="J9" s="1112"/>
    </row>
    <row r="10" spans="1:10">
      <c r="A10" s="1112"/>
      <c r="B10" s="1130"/>
      <c r="C10" s="1129"/>
      <c r="D10" s="1114"/>
      <c r="E10" s="1114"/>
      <c r="F10" s="1114"/>
      <c r="G10" s="1114"/>
      <c r="H10" s="1128"/>
      <c r="I10" s="1112"/>
      <c r="J10" s="1112"/>
    </row>
    <row r="11" spans="1:10">
      <c r="A11" s="1112"/>
      <c r="B11" s="1130"/>
      <c r="C11" s="983" t="s">
        <v>795</v>
      </c>
      <c r="D11" s="1114"/>
      <c r="E11" s="1114"/>
      <c r="F11" s="1114"/>
      <c r="G11" s="1114"/>
      <c r="H11" s="1128"/>
      <c r="I11" s="1112"/>
      <c r="J11" s="1112"/>
    </row>
    <row r="12" spans="1:10">
      <c r="A12" s="1112"/>
      <c r="B12" s="1127"/>
      <c r="C12" s="1117"/>
      <c r="D12" s="1118" t="s">
        <v>796</v>
      </c>
      <c r="E12" s="1118" t="s">
        <v>797</v>
      </c>
      <c r="F12" s="1118" t="s">
        <v>798</v>
      </c>
      <c r="G12" s="1118" t="s">
        <v>751</v>
      </c>
      <c r="H12" s="1128"/>
      <c r="I12" s="1112"/>
      <c r="J12" s="1112"/>
    </row>
    <row r="13" spans="1:10">
      <c r="A13" s="1112"/>
      <c r="B13" s="1127"/>
      <c r="C13" s="1119" t="s">
        <v>799</v>
      </c>
      <c r="D13" s="1119" t="s">
        <v>585</v>
      </c>
      <c r="E13" s="1119" t="s">
        <v>800</v>
      </c>
      <c r="F13" s="1119" t="s">
        <v>801</v>
      </c>
      <c r="G13" s="1119" t="s">
        <v>802</v>
      </c>
      <c r="H13" s="1128"/>
      <c r="I13" s="1112"/>
      <c r="J13" s="1112"/>
    </row>
    <row r="14" spans="1:10">
      <c r="A14" s="1112"/>
      <c r="B14" s="1127"/>
      <c r="C14" s="1120" t="s">
        <v>778</v>
      </c>
      <c r="D14" s="1120" t="s">
        <v>779</v>
      </c>
      <c r="E14" s="1121" t="s">
        <v>803</v>
      </c>
      <c r="F14" s="1120" t="s">
        <v>804</v>
      </c>
      <c r="G14" s="1120" t="s">
        <v>805</v>
      </c>
      <c r="H14" s="1128"/>
      <c r="I14" s="1112"/>
      <c r="J14" s="1112"/>
    </row>
    <row r="15" spans="1:10">
      <c r="A15" s="1112"/>
      <c r="B15" s="1127"/>
      <c r="C15" s="1122" t="s">
        <v>806</v>
      </c>
      <c r="D15" s="1123"/>
      <c r="E15" s="1123"/>
      <c r="F15" s="1123"/>
      <c r="G15" s="1123"/>
      <c r="H15" s="1128"/>
      <c r="I15" s="1112"/>
      <c r="J15" s="1112"/>
    </row>
    <row r="16" spans="1:10">
      <c r="A16" s="1112"/>
      <c r="B16" s="1127"/>
      <c r="C16" s="1122" t="s">
        <v>806</v>
      </c>
      <c r="D16" s="1123"/>
      <c r="E16" s="1123"/>
      <c r="F16" s="1123"/>
      <c r="G16" s="1123"/>
      <c r="H16" s="1128"/>
      <c r="I16" s="1112"/>
      <c r="J16" s="1112"/>
    </row>
    <row r="17" spans="1:10">
      <c r="A17" s="1112"/>
      <c r="B17" s="1127"/>
      <c r="C17" s="1122" t="s">
        <v>806</v>
      </c>
      <c r="D17" s="1123"/>
      <c r="E17" s="1123"/>
      <c r="F17" s="1123"/>
      <c r="G17" s="1123"/>
      <c r="H17" s="1128"/>
      <c r="I17" s="1112"/>
      <c r="J17" s="1112"/>
    </row>
    <row r="18" spans="1:10">
      <c r="A18" s="1112"/>
      <c r="B18" s="1127"/>
      <c r="C18" s="1122" t="s">
        <v>806</v>
      </c>
      <c r="D18" s="1123"/>
      <c r="E18" s="1123"/>
      <c r="F18" s="1123"/>
      <c r="G18" s="1123"/>
      <c r="H18" s="1128"/>
      <c r="I18" s="1112"/>
      <c r="J18" s="1112"/>
    </row>
    <row r="19" spans="1:10">
      <c r="A19" s="1112"/>
      <c r="B19" s="1127"/>
      <c r="C19" s="1116"/>
      <c r="D19" s="1116"/>
      <c r="E19" s="1116"/>
      <c r="F19" s="1116"/>
      <c r="G19" s="1116"/>
      <c r="H19" s="1128"/>
      <c r="I19" s="1112"/>
      <c r="J19" s="1112"/>
    </row>
    <row r="20" spans="1:10">
      <c r="A20" s="1112"/>
      <c r="B20" s="1127"/>
      <c r="C20" s="2106" t="s">
        <v>807</v>
      </c>
      <c r="D20" s="2107"/>
      <c r="E20" s="2107"/>
      <c r="F20" s="2108"/>
      <c r="G20" s="1400">
        <v>0</v>
      </c>
      <c r="H20" s="1128"/>
      <c r="I20" s="1112"/>
      <c r="J20" s="1112"/>
    </row>
    <row r="21" spans="1:10">
      <c r="A21" s="1112"/>
      <c r="B21" s="1127"/>
      <c r="C21" s="2106" t="s">
        <v>808</v>
      </c>
      <c r="D21" s="2107"/>
      <c r="E21" s="2107"/>
      <c r="F21" s="2108"/>
      <c r="G21" s="1400">
        <v>0</v>
      </c>
      <c r="H21" s="1128"/>
      <c r="I21" s="1112"/>
      <c r="J21" s="1112"/>
    </row>
    <row r="22" spans="1:10">
      <c r="A22" s="1112"/>
      <c r="B22" s="1127"/>
      <c r="C22" s="2106" t="s">
        <v>809</v>
      </c>
      <c r="D22" s="2107"/>
      <c r="E22" s="2107"/>
      <c r="F22" s="2108"/>
      <c r="G22" s="1400">
        <v>0</v>
      </c>
      <c r="H22" s="1128"/>
      <c r="I22" s="1112"/>
      <c r="J22" s="1112"/>
    </row>
    <row r="23" spans="1:10">
      <c r="A23" s="1112"/>
      <c r="B23" s="1127"/>
      <c r="C23" s="2106" t="s">
        <v>810</v>
      </c>
      <c r="D23" s="2107"/>
      <c r="E23" s="2107"/>
      <c r="F23" s="2108"/>
      <c r="G23" s="1400">
        <v>0</v>
      </c>
      <c r="H23" s="1128"/>
      <c r="I23" s="1112"/>
      <c r="J23" s="1112"/>
    </row>
    <row r="24" spans="1:10">
      <c r="A24" s="1112"/>
      <c r="B24" s="1127"/>
      <c r="C24" s="1114"/>
      <c r="D24" s="1114"/>
      <c r="E24" s="1114"/>
      <c r="F24" s="1114"/>
      <c r="G24" s="1114"/>
      <c r="H24" s="1128"/>
      <c r="I24" s="1112"/>
      <c r="J24" s="1112"/>
    </row>
    <row r="25" spans="1:10">
      <c r="A25" s="1112"/>
      <c r="B25" s="1127"/>
      <c r="C25" s="1114"/>
      <c r="D25" s="1114"/>
      <c r="E25" s="1114"/>
      <c r="F25" s="1114"/>
      <c r="G25" s="1114"/>
      <c r="H25" s="1128"/>
      <c r="I25" s="1112"/>
      <c r="J25" s="1112"/>
    </row>
    <row r="26" spans="1:10">
      <c r="A26" s="1112"/>
      <c r="B26" s="1127"/>
      <c r="C26" s="1131" t="s">
        <v>811</v>
      </c>
      <c r="D26" s="1114"/>
      <c r="E26" s="1114"/>
      <c r="F26" s="1114"/>
      <c r="G26" s="1114"/>
      <c r="H26" s="1128"/>
      <c r="I26" s="1112"/>
      <c r="J26" s="1112"/>
    </row>
    <row r="27" spans="1:10">
      <c r="A27" s="1112"/>
      <c r="B27" s="1127"/>
      <c r="C27" s="2109"/>
      <c r="D27" s="2110"/>
      <c r="E27" s="2110"/>
      <c r="F27" s="2110"/>
      <c r="G27" s="2111"/>
      <c r="H27" s="1128"/>
      <c r="I27" s="1112"/>
      <c r="J27" s="1112"/>
    </row>
    <row r="28" spans="1:10">
      <c r="A28" s="1112"/>
      <c r="B28" s="1127"/>
      <c r="C28" s="2112"/>
      <c r="D28" s="2113"/>
      <c r="E28" s="2113"/>
      <c r="F28" s="2113"/>
      <c r="G28" s="2114"/>
      <c r="H28" s="1128"/>
      <c r="I28" s="1112"/>
      <c r="J28" s="1112"/>
    </row>
    <row r="29" spans="1:10">
      <c r="A29" s="1112"/>
      <c r="B29" s="1127"/>
      <c r="C29" s="2112"/>
      <c r="D29" s="2113"/>
      <c r="E29" s="2113"/>
      <c r="F29" s="2113"/>
      <c r="G29" s="2114"/>
      <c r="H29" s="1128"/>
      <c r="I29" s="1112"/>
      <c r="J29" s="1112"/>
    </row>
    <row r="30" spans="1:10">
      <c r="A30" s="1112"/>
      <c r="B30" s="1127"/>
      <c r="C30" s="2112"/>
      <c r="D30" s="2113"/>
      <c r="E30" s="2113"/>
      <c r="F30" s="2113"/>
      <c r="G30" s="2114"/>
      <c r="H30" s="1128"/>
      <c r="I30" s="1112"/>
      <c r="J30" s="1112"/>
    </row>
    <row r="31" spans="1:10">
      <c r="A31" s="1112"/>
      <c r="B31" s="1127"/>
      <c r="C31" s="2112"/>
      <c r="D31" s="2113"/>
      <c r="E31" s="2113"/>
      <c r="F31" s="2113"/>
      <c r="G31" s="2114"/>
      <c r="H31" s="1128"/>
      <c r="I31" s="1112"/>
      <c r="J31" s="1112"/>
    </row>
    <row r="32" spans="1:10">
      <c r="A32" s="1112"/>
      <c r="B32" s="1127"/>
      <c r="C32" s="2112"/>
      <c r="D32" s="2113"/>
      <c r="E32" s="2113"/>
      <c r="F32" s="2113"/>
      <c r="G32" s="2114"/>
      <c r="H32" s="1128"/>
      <c r="I32" s="1112"/>
      <c r="J32" s="1112"/>
    </row>
    <row r="33" spans="1:10">
      <c r="A33" s="1112"/>
      <c r="B33" s="1127"/>
      <c r="C33" s="2112"/>
      <c r="D33" s="2113"/>
      <c r="E33" s="2113"/>
      <c r="F33" s="2113"/>
      <c r="G33" s="2114"/>
      <c r="H33" s="1128"/>
      <c r="I33" s="1112"/>
      <c r="J33" s="1112"/>
    </row>
    <row r="34" spans="1:10">
      <c r="A34" s="1112"/>
      <c r="B34" s="1127"/>
      <c r="C34" s="2112"/>
      <c r="D34" s="2113"/>
      <c r="E34" s="2113"/>
      <c r="F34" s="2113"/>
      <c r="G34" s="2114"/>
      <c r="H34" s="1128"/>
      <c r="I34" s="1112"/>
      <c r="J34" s="1112"/>
    </row>
    <row r="35" spans="1:10">
      <c r="A35" s="1112"/>
      <c r="B35" s="1127"/>
      <c r="C35" s="2112"/>
      <c r="D35" s="2113"/>
      <c r="E35" s="2113"/>
      <c r="F35" s="2113"/>
      <c r="G35" s="2114"/>
      <c r="H35" s="1128"/>
      <c r="I35" s="1112"/>
      <c r="J35" s="1112"/>
    </row>
    <row r="36" spans="1:10">
      <c r="A36" s="1112"/>
      <c r="B36" s="1127"/>
      <c r="C36" s="2112"/>
      <c r="D36" s="2113"/>
      <c r="E36" s="2113"/>
      <c r="F36" s="2113"/>
      <c r="G36" s="2114"/>
      <c r="H36" s="1128"/>
      <c r="I36" s="1112"/>
      <c r="J36" s="1112"/>
    </row>
    <row r="37" spans="1:10">
      <c r="A37" s="1112"/>
      <c r="B37" s="1127"/>
      <c r="C37" s="2112"/>
      <c r="D37" s="2113"/>
      <c r="E37" s="2113"/>
      <c r="F37" s="2113"/>
      <c r="G37" s="2114"/>
      <c r="H37" s="1128"/>
      <c r="I37" s="1112"/>
      <c r="J37" s="1112"/>
    </row>
    <row r="38" spans="1:10">
      <c r="A38" s="1112"/>
      <c r="B38" s="1127"/>
      <c r="C38" s="2112"/>
      <c r="D38" s="2113"/>
      <c r="E38" s="2113"/>
      <c r="F38" s="2113"/>
      <c r="G38" s="2114"/>
      <c r="H38" s="1128"/>
      <c r="I38" s="1112"/>
      <c r="J38" s="1112"/>
    </row>
    <row r="39" spans="1:10">
      <c r="A39" s="1112"/>
      <c r="B39" s="1127"/>
      <c r="C39" s="2112"/>
      <c r="D39" s="2113"/>
      <c r="E39" s="2113"/>
      <c r="F39" s="2113"/>
      <c r="G39" s="2114"/>
      <c r="H39" s="1128"/>
      <c r="I39" s="1112"/>
      <c r="J39" s="1112"/>
    </row>
    <row r="40" spans="1:10">
      <c r="A40" s="1112"/>
      <c r="B40" s="1127"/>
      <c r="C40" s="2112"/>
      <c r="D40" s="2113"/>
      <c r="E40" s="2113"/>
      <c r="F40" s="2113"/>
      <c r="G40" s="2114"/>
      <c r="H40" s="1128"/>
      <c r="I40" s="1112"/>
      <c r="J40" s="1112"/>
    </row>
    <row r="41" spans="1:10">
      <c r="A41" s="1112"/>
      <c r="B41" s="1127"/>
      <c r="C41" s="2112"/>
      <c r="D41" s="2113"/>
      <c r="E41" s="2113"/>
      <c r="F41" s="2113"/>
      <c r="G41" s="2114"/>
      <c r="H41" s="1128"/>
      <c r="I41" s="1112"/>
      <c r="J41" s="1112"/>
    </row>
    <row r="42" spans="1:10">
      <c r="A42" s="1112"/>
      <c r="B42" s="1127"/>
      <c r="C42" s="2115"/>
      <c r="D42" s="2116"/>
      <c r="E42" s="2116"/>
      <c r="F42" s="2116"/>
      <c r="G42" s="2117"/>
      <c r="H42" s="1128"/>
      <c r="I42" s="1112"/>
      <c r="J42" s="1112"/>
    </row>
    <row r="43" spans="1:10">
      <c r="A43" s="1112"/>
      <c r="B43" s="1127"/>
      <c r="C43" s="1114"/>
      <c r="D43" s="1114"/>
      <c r="E43" s="1114"/>
      <c r="F43" s="1114"/>
      <c r="G43" s="1114"/>
      <c r="H43" s="1128"/>
      <c r="I43" s="1112"/>
      <c r="J43" s="1112"/>
    </row>
    <row r="44" spans="1:10" ht="13.5" thickBot="1">
      <c r="A44" s="1112"/>
      <c r="B44" s="1132"/>
      <c r="C44" s="1133"/>
      <c r="D44" s="1133"/>
      <c r="E44" s="1133"/>
      <c r="F44" s="1133"/>
      <c r="G44" s="1133"/>
      <c r="H44" s="1134"/>
      <c r="I44" s="1112"/>
      <c r="J44" s="1112"/>
    </row>
    <row r="45" spans="1:10" ht="13.5" thickTop="1">
      <c r="A45" s="1112"/>
      <c r="B45" s="1112"/>
      <c r="C45" s="1112"/>
      <c r="D45" s="1112"/>
      <c r="E45" s="1112"/>
      <c r="F45" s="1112"/>
      <c r="G45" s="1112"/>
      <c r="H45" s="1112"/>
      <c r="I45" s="1112"/>
      <c r="J45" s="1112"/>
    </row>
    <row r="46" spans="1:10">
      <c r="A46" s="1112"/>
      <c r="B46" s="1112"/>
      <c r="C46" s="1112"/>
      <c r="D46" s="1112"/>
      <c r="E46" s="1112"/>
      <c r="F46" s="1112"/>
      <c r="G46" s="1112"/>
      <c r="H46" s="1112"/>
      <c r="I46" s="1112"/>
      <c r="J46" s="1112"/>
    </row>
    <row r="47" spans="1:10">
      <c r="A47" s="1112"/>
      <c r="B47" s="1112"/>
      <c r="C47" s="1112"/>
      <c r="D47" s="1112"/>
      <c r="E47" s="1112"/>
      <c r="F47" s="1112"/>
      <c r="G47" s="1112"/>
      <c r="H47" s="1112"/>
      <c r="I47" s="1112"/>
      <c r="J47" s="1112"/>
    </row>
    <row r="48" spans="1:10">
      <c r="A48" s="1112"/>
      <c r="B48" s="1112"/>
      <c r="C48" s="1112"/>
      <c r="D48" s="1112"/>
      <c r="E48" s="1112"/>
      <c r="F48" s="1112"/>
      <c r="G48" s="1112"/>
      <c r="H48" s="1112"/>
      <c r="I48" s="1112"/>
      <c r="J48" s="1112"/>
    </row>
    <row r="49" spans="1:10">
      <c r="A49" s="1112"/>
      <c r="B49" s="1112"/>
      <c r="C49" s="1112"/>
      <c r="D49" s="1112"/>
      <c r="E49" s="1112"/>
      <c r="F49" s="1112"/>
      <c r="G49" s="1112"/>
      <c r="H49" s="1112"/>
      <c r="I49" s="1112"/>
      <c r="J49" s="1112"/>
    </row>
    <row r="50" spans="1:10">
      <c r="A50" s="1112"/>
      <c r="B50" s="1112"/>
      <c r="C50" s="1112"/>
      <c r="D50" s="1112"/>
      <c r="E50" s="1112"/>
      <c r="F50" s="1112"/>
      <c r="G50" s="1112"/>
      <c r="H50" s="1112"/>
      <c r="I50" s="1112"/>
      <c r="J50" s="1112"/>
    </row>
    <row r="51" spans="1:10">
      <c r="A51" s="1112"/>
      <c r="B51" s="1112"/>
      <c r="C51" s="1112"/>
      <c r="D51" s="1112"/>
      <c r="E51" s="1112"/>
      <c r="F51" s="1112"/>
      <c r="G51" s="1112"/>
      <c r="H51" s="1112"/>
      <c r="I51" s="1112"/>
      <c r="J51" s="1112"/>
    </row>
    <row r="52" spans="1:10">
      <c r="A52" s="1112"/>
      <c r="B52" s="1112"/>
      <c r="C52" s="1112"/>
      <c r="D52" s="1112"/>
      <c r="E52" s="1112"/>
      <c r="F52" s="1112"/>
      <c r="G52" s="1112"/>
      <c r="H52" s="1112"/>
      <c r="I52" s="1112"/>
      <c r="J52" s="1112"/>
    </row>
    <row r="53" spans="1:10">
      <c r="A53" s="1112"/>
      <c r="B53" s="1112"/>
      <c r="C53" s="1112"/>
      <c r="D53" s="1112"/>
      <c r="E53" s="1112"/>
      <c r="F53" s="1112"/>
      <c r="G53" s="1112"/>
      <c r="H53" s="1112"/>
      <c r="I53" s="1112"/>
      <c r="J53" s="1112"/>
    </row>
    <row r="54" spans="1:10">
      <c r="A54" s="1112"/>
      <c r="B54" s="1112"/>
      <c r="C54" s="1112"/>
      <c r="D54" s="1112"/>
      <c r="E54" s="1112"/>
      <c r="F54" s="1112"/>
      <c r="G54" s="1112"/>
      <c r="H54" s="1112"/>
      <c r="I54" s="1112"/>
      <c r="J54" s="1112"/>
    </row>
    <row r="55" spans="1:10">
      <c r="A55" s="1112"/>
      <c r="B55" s="1112"/>
      <c r="C55" s="1112"/>
      <c r="D55" s="1112"/>
      <c r="E55" s="1112"/>
      <c r="F55" s="1112"/>
      <c r="G55" s="1112"/>
      <c r="H55" s="1112"/>
      <c r="I55" s="1112"/>
      <c r="J55" s="1112"/>
    </row>
    <row r="56" spans="1:10">
      <c r="A56" s="1112"/>
      <c r="B56" s="1112"/>
      <c r="C56" s="1112"/>
      <c r="D56" s="1112"/>
      <c r="E56" s="1112"/>
      <c r="F56" s="1112"/>
      <c r="G56" s="1112"/>
      <c r="H56" s="1112"/>
      <c r="I56" s="1112"/>
      <c r="J56" s="1112"/>
    </row>
    <row r="57" spans="1:10">
      <c r="A57" s="1112"/>
      <c r="B57" s="1112"/>
      <c r="C57" s="1112"/>
      <c r="D57" s="1112"/>
      <c r="E57" s="1112"/>
      <c r="F57" s="1112"/>
      <c r="G57" s="1112"/>
      <c r="H57" s="1112"/>
      <c r="I57" s="1112"/>
      <c r="J57" s="1112"/>
    </row>
    <row r="58" spans="1:10">
      <c r="A58" s="1112"/>
      <c r="B58" s="1112"/>
      <c r="C58" s="1112"/>
      <c r="D58" s="1112"/>
      <c r="E58" s="1112"/>
      <c r="F58" s="1112"/>
      <c r="G58" s="1112"/>
      <c r="H58" s="1112"/>
      <c r="I58" s="1112"/>
      <c r="J58" s="1112"/>
    </row>
    <row r="59" spans="1:10">
      <c r="A59" s="1112"/>
      <c r="B59" s="1112"/>
      <c r="C59" s="1112"/>
      <c r="D59" s="1112"/>
      <c r="E59" s="1112"/>
      <c r="F59" s="1112"/>
      <c r="G59" s="1112"/>
      <c r="H59" s="1112"/>
      <c r="I59" s="1112"/>
      <c r="J59" s="1112"/>
    </row>
    <row r="60" spans="1:10">
      <c r="A60" s="1112"/>
      <c r="B60" s="1112"/>
      <c r="C60" s="1112"/>
      <c r="D60" s="1112"/>
      <c r="E60" s="1112"/>
      <c r="F60" s="1112"/>
      <c r="G60" s="1112"/>
      <c r="H60" s="1112"/>
      <c r="I60" s="1112"/>
      <c r="J60" s="1112"/>
    </row>
    <row r="61" spans="1:10">
      <c r="A61" s="1112"/>
      <c r="B61" s="1112"/>
      <c r="C61" s="1112"/>
      <c r="D61" s="1112"/>
      <c r="E61" s="1112"/>
      <c r="F61" s="1112"/>
      <c r="G61" s="1112"/>
      <c r="H61" s="1112"/>
      <c r="I61" s="1112"/>
      <c r="J61" s="1112"/>
    </row>
    <row r="62" spans="1:10">
      <c r="A62" s="1112"/>
      <c r="B62" s="1112"/>
      <c r="C62" s="1112"/>
      <c r="D62" s="1112"/>
      <c r="E62" s="1112"/>
      <c r="F62" s="1112"/>
      <c r="G62" s="1112"/>
      <c r="H62" s="1112"/>
      <c r="I62" s="1112"/>
      <c r="J62" s="1112"/>
    </row>
    <row r="63" spans="1:10">
      <c r="A63" s="1112"/>
      <c r="B63" s="1112"/>
      <c r="C63" s="1112"/>
      <c r="D63" s="1112"/>
      <c r="E63" s="1112"/>
      <c r="F63" s="1112"/>
      <c r="G63" s="1112"/>
      <c r="H63" s="1112"/>
      <c r="I63" s="1112"/>
      <c r="J63" s="1112"/>
    </row>
    <row r="64" spans="1:10">
      <c r="A64" s="1112"/>
      <c r="B64" s="1112"/>
      <c r="C64" s="1112"/>
      <c r="D64" s="1112"/>
      <c r="E64" s="1112"/>
      <c r="F64" s="1112"/>
      <c r="G64" s="1112"/>
      <c r="H64" s="1112"/>
      <c r="I64" s="1112"/>
      <c r="J64" s="1112"/>
    </row>
    <row r="65" spans="1:10">
      <c r="A65" s="1112"/>
      <c r="B65" s="1112"/>
      <c r="C65" s="1112"/>
      <c r="D65" s="1112"/>
      <c r="E65" s="1112"/>
      <c r="F65" s="1112"/>
      <c r="G65" s="1112"/>
      <c r="H65" s="1112"/>
      <c r="I65" s="1112"/>
      <c r="J65" s="1112"/>
    </row>
    <row r="66" spans="1:10">
      <c r="A66" s="1112"/>
      <c r="B66" s="1112"/>
      <c r="C66" s="1112"/>
      <c r="D66" s="1112"/>
      <c r="E66" s="1112"/>
      <c r="F66" s="1112"/>
      <c r="G66" s="1112"/>
      <c r="H66" s="1112"/>
      <c r="I66" s="1112"/>
      <c r="J66" s="1112"/>
    </row>
    <row r="67" spans="1:10">
      <c r="A67" s="1112"/>
      <c r="B67" s="1112"/>
      <c r="C67" s="1112"/>
      <c r="D67" s="1112"/>
      <c r="E67" s="1112"/>
      <c r="F67" s="1112"/>
      <c r="G67" s="1112"/>
      <c r="H67" s="1112"/>
      <c r="I67" s="1112"/>
      <c r="J67" s="1112"/>
    </row>
    <row r="68" spans="1:10">
      <c r="A68" s="1112"/>
      <c r="B68" s="1112"/>
      <c r="C68" s="1112"/>
      <c r="D68" s="1112"/>
      <c r="E68" s="1112"/>
      <c r="F68" s="1112"/>
      <c r="G68" s="1112"/>
      <c r="H68" s="1112"/>
      <c r="I68" s="1112"/>
      <c r="J68" s="1112"/>
    </row>
    <row r="69" spans="1:10">
      <c r="A69" s="1112"/>
      <c r="B69" s="1112"/>
      <c r="C69" s="1112"/>
      <c r="D69" s="1112"/>
      <c r="E69" s="1112"/>
      <c r="F69" s="1112"/>
      <c r="G69" s="1112"/>
      <c r="H69" s="1112"/>
      <c r="I69" s="1112"/>
      <c r="J69" s="1112"/>
    </row>
    <row r="70" spans="1:10">
      <c r="A70" s="1112"/>
      <c r="B70" s="1112"/>
      <c r="C70" s="1112"/>
      <c r="D70" s="1112"/>
      <c r="E70" s="1112"/>
      <c r="F70" s="1112"/>
      <c r="G70" s="1112"/>
      <c r="H70" s="1112"/>
      <c r="I70" s="1112"/>
      <c r="J70" s="1112"/>
    </row>
    <row r="71" spans="1:10">
      <c r="A71" s="1112"/>
      <c r="B71" s="1112"/>
      <c r="C71" s="1112"/>
      <c r="D71" s="1112"/>
      <c r="E71" s="1112"/>
      <c r="F71" s="1112"/>
      <c r="G71" s="1112"/>
      <c r="H71" s="1112"/>
      <c r="I71" s="1112"/>
      <c r="J71" s="1112"/>
    </row>
    <row r="72" spans="1:10">
      <c r="A72" s="1112"/>
      <c r="B72" s="1112"/>
      <c r="C72" s="1112"/>
      <c r="D72" s="1112"/>
      <c r="E72" s="1112"/>
      <c r="F72" s="1112"/>
      <c r="G72" s="1112"/>
      <c r="H72" s="1112"/>
      <c r="I72" s="1112"/>
      <c r="J72" s="1112"/>
    </row>
    <row r="73" spans="1:10">
      <c r="A73" s="1112"/>
      <c r="B73" s="1112"/>
      <c r="C73" s="1112"/>
      <c r="D73" s="1112"/>
      <c r="E73" s="1112"/>
      <c r="F73" s="1112"/>
      <c r="G73" s="1112"/>
      <c r="H73" s="1112"/>
      <c r="I73" s="1112"/>
      <c r="J73" s="1112"/>
    </row>
    <row r="74" spans="1:10">
      <c r="A74" s="1112"/>
      <c r="B74" s="1112"/>
      <c r="C74" s="1112"/>
      <c r="D74" s="1112"/>
      <c r="E74" s="1112"/>
      <c r="F74" s="1112"/>
      <c r="G74" s="1112"/>
      <c r="H74" s="1112"/>
      <c r="I74" s="1112"/>
      <c r="J74" s="1112"/>
    </row>
    <row r="75" spans="1:10">
      <c r="A75" s="1112"/>
      <c r="B75" s="1112"/>
      <c r="C75" s="1112"/>
      <c r="D75" s="1112"/>
      <c r="E75" s="1112"/>
      <c r="F75" s="1112"/>
      <c r="G75" s="1112"/>
      <c r="H75" s="1112"/>
      <c r="I75" s="1112"/>
      <c r="J75" s="1112"/>
    </row>
    <row r="76" spans="1:10">
      <c r="A76" s="1112"/>
      <c r="B76" s="1112"/>
      <c r="C76" s="1112"/>
      <c r="D76" s="1112"/>
      <c r="E76" s="1112"/>
      <c r="F76" s="1112"/>
      <c r="G76" s="1112"/>
      <c r="H76" s="1112"/>
      <c r="I76" s="1112"/>
      <c r="J76" s="1112"/>
    </row>
    <row r="77" spans="1:10">
      <c r="A77" s="1112"/>
      <c r="B77" s="1112"/>
      <c r="C77" s="1112"/>
      <c r="D77" s="1112"/>
      <c r="E77" s="1112"/>
      <c r="F77" s="1112"/>
      <c r="G77" s="1112"/>
      <c r="H77" s="1112"/>
      <c r="I77" s="1112"/>
      <c r="J77" s="1112"/>
    </row>
    <row r="78" spans="1:10">
      <c r="A78" s="1112"/>
      <c r="B78" s="1112"/>
      <c r="C78" s="1112"/>
      <c r="D78" s="1112"/>
      <c r="E78" s="1112"/>
      <c r="F78" s="1112"/>
      <c r="G78" s="1112"/>
      <c r="H78" s="1112"/>
      <c r="I78" s="1112"/>
      <c r="J78" s="1112"/>
    </row>
    <row r="79" spans="1:10">
      <c r="A79" s="1112"/>
      <c r="B79" s="1112"/>
      <c r="C79" s="1112"/>
      <c r="D79" s="1112"/>
      <c r="E79" s="1112"/>
      <c r="F79" s="1112"/>
      <c r="G79" s="1112"/>
      <c r="H79" s="1112"/>
      <c r="I79" s="1112"/>
      <c r="J79" s="1112"/>
    </row>
    <row r="80" spans="1:10">
      <c r="A80" s="1112"/>
      <c r="B80" s="1112"/>
      <c r="C80" s="1112"/>
      <c r="D80" s="1112"/>
      <c r="E80" s="1112"/>
      <c r="F80" s="1112"/>
      <c r="G80" s="1112"/>
      <c r="H80" s="1112"/>
      <c r="I80" s="1112"/>
      <c r="J80" s="1112"/>
    </row>
    <row r="81" spans="1:10">
      <c r="A81" s="1112"/>
      <c r="B81" s="1112"/>
      <c r="C81" s="1112"/>
      <c r="D81" s="1112"/>
      <c r="E81" s="1112"/>
      <c r="F81" s="1112"/>
      <c r="G81" s="1112"/>
      <c r="H81" s="1112"/>
      <c r="I81" s="1112"/>
      <c r="J81" s="1112"/>
    </row>
    <row r="82" spans="1:10">
      <c r="A82" s="1112"/>
      <c r="B82" s="1112"/>
      <c r="C82" s="1112"/>
      <c r="D82" s="1112"/>
      <c r="E82" s="1112"/>
      <c r="F82" s="1112"/>
      <c r="G82" s="1112"/>
      <c r="H82" s="1112"/>
      <c r="I82" s="1112"/>
      <c r="J82" s="1112"/>
    </row>
    <row r="83" spans="1:10">
      <c r="A83" s="1112"/>
      <c r="B83" s="1112"/>
      <c r="C83" s="1112"/>
      <c r="D83" s="1112"/>
      <c r="E83" s="1112"/>
      <c r="F83" s="1112"/>
      <c r="G83" s="1112"/>
      <c r="H83" s="1112"/>
      <c r="I83" s="1112"/>
      <c r="J83" s="1112"/>
    </row>
    <row r="84" spans="1:10">
      <c r="A84" s="1112"/>
      <c r="B84" s="1112"/>
      <c r="C84" s="1112"/>
      <c r="D84" s="1112"/>
      <c r="E84" s="1112"/>
      <c r="F84" s="1112"/>
      <c r="G84" s="1112"/>
      <c r="H84" s="1112"/>
      <c r="I84" s="1112"/>
      <c r="J84" s="1112"/>
    </row>
    <row r="85" spans="1:10">
      <c r="A85" s="1112"/>
      <c r="B85" s="1112"/>
      <c r="C85" s="1112"/>
      <c r="D85" s="1112"/>
      <c r="E85" s="1112"/>
      <c r="F85" s="1112"/>
      <c r="G85" s="1112"/>
      <c r="H85" s="1112"/>
      <c r="I85" s="1112"/>
      <c r="J85" s="1112"/>
    </row>
    <row r="86" spans="1:10">
      <c r="A86" s="1112"/>
      <c r="B86" s="1112"/>
      <c r="C86" s="1112"/>
      <c r="D86" s="1112"/>
      <c r="E86" s="1112"/>
      <c r="F86" s="1112"/>
      <c r="G86" s="1112"/>
      <c r="H86" s="1112"/>
      <c r="I86" s="1112"/>
      <c r="J86" s="1112"/>
    </row>
    <row r="87" spans="1:10">
      <c r="A87" s="1112"/>
      <c r="B87" s="1112"/>
      <c r="C87" s="1112"/>
      <c r="D87" s="1112"/>
      <c r="E87" s="1112"/>
      <c r="F87" s="1112"/>
      <c r="G87" s="1112"/>
      <c r="H87" s="1112"/>
      <c r="I87" s="1112"/>
      <c r="J87" s="1112"/>
    </row>
    <row r="88" spans="1:10">
      <c r="A88" s="1112"/>
      <c r="B88" s="1112"/>
      <c r="C88" s="1112"/>
      <c r="D88" s="1112"/>
      <c r="E88" s="1112"/>
      <c r="F88" s="1112"/>
      <c r="G88" s="1112"/>
      <c r="H88" s="1112"/>
      <c r="I88" s="1112"/>
      <c r="J88" s="1112"/>
    </row>
    <row r="89" spans="1:10">
      <c r="A89" s="1112"/>
      <c r="B89" s="1112"/>
      <c r="C89" s="1112"/>
      <c r="D89" s="1112"/>
      <c r="E89" s="1112"/>
      <c r="F89" s="1112"/>
      <c r="G89" s="1112"/>
      <c r="H89" s="1112"/>
      <c r="I89" s="1112"/>
      <c r="J89" s="1112"/>
    </row>
    <row r="90" spans="1:10">
      <c r="A90" s="1112"/>
      <c r="B90" s="1112"/>
      <c r="C90" s="1112"/>
      <c r="D90" s="1112"/>
      <c r="E90" s="1112"/>
      <c r="F90" s="1112"/>
      <c r="G90" s="1112"/>
      <c r="H90" s="1112"/>
      <c r="I90" s="1112"/>
      <c r="J90" s="1112"/>
    </row>
    <row r="91" spans="1:10">
      <c r="A91" s="1112"/>
      <c r="B91" s="1112"/>
      <c r="C91" s="1112"/>
      <c r="D91" s="1112"/>
      <c r="E91" s="1112"/>
      <c r="F91" s="1112"/>
      <c r="G91" s="1112"/>
      <c r="H91" s="1112"/>
      <c r="I91" s="1112"/>
      <c r="J91" s="1112"/>
    </row>
    <row r="92" spans="1:10">
      <c r="A92" s="1112"/>
      <c r="B92" s="1112"/>
      <c r="C92" s="1112"/>
      <c r="D92" s="1112"/>
      <c r="E92" s="1112"/>
      <c r="F92" s="1112"/>
      <c r="G92" s="1112"/>
      <c r="H92" s="1112"/>
      <c r="I92" s="1112"/>
      <c r="J92" s="1112"/>
    </row>
    <row r="93" spans="1:10">
      <c r="A93" s="1112"/>
      <c r="B93" s="1112"/>
      <c r="C93" s="1112"/>
      <c r="D93" s="1112"/>
      <c r="E93" s="1112"/>
      <c r="F93" s="1112"/>
      <c r="G93" s="1112"/>
      <c r="H93" s="1112"/>
      <c r="I93" s="1112"/>
      <c r="J93" s="1112"/>
    </row>
    <row r="94" spans="1:10">
      <c r="A94" s="1112"/>
      <c r="B94" s="1112"/>
      <c r="C94" s="1112"/>
      <c r="D94" s="1112"/>
      <c r="E94" s="1112"/>
      <c r="F94" s="1112"/>
      <c r="G94" s="1112"/>
      <c r="H94" s="1112"/>
      <c r="I94" s="1112"/>
      <c r="J94" s="1112"/>
    </row>
    <row r="95" spans="1:10">
      <c r="A95" s="1112"/>
      <c r="B95" s="1112"/>
      <c r="C95" s="1112"/>
      <c r="D95" s="1112"/>
      <c r="E95" s="1112"/>
      <c r="F95" s="1112"/>
      <c r="G95" s="1112"/>
      <c r="H95" s="1112"/>
      <c r="I95" s="1112"/>
      <c r="J95" s="1112"/>
    </row>
    <row r="96" spans="1:10">
      <c r="A96" s="1112"/>
      <c r="B96" s="1112"/>
      <c r="C96" s="1112"/>
      <c r="D96" s="1112"/>
      <c r="E96" s="1112"/>
      <c r="F96" s="1112"/>
      <c r="G96" s="1112"/>
      <c r="H96" s="1112"/>
      <c r="I96" s="1112"/>
      <c r="J96" s="1112"/>
    </row>
    <row r="97" spans="1:10">
      <c r="A97" s="1112"/>
      <c r="B97" s="1112"/>
      <c r="C97" s="1112"/>
      <c r="D97" s="1112"/>
      <c r="E97" s="1112"/>
      <c r="F97" s="1112"/>
      <c r="G97" s="1112"/>
      <c r="H97" s="1112"/>
      <c r="I97" s="1112"/>
      <c r="J97" s="1112"/>
    </row>
    <row r="98" spans="1:10">
      <c r="A98" s="1112"/>
      <c r="B98" s="1112"/>
      <c r="C98" s="1112"/>
      <c r="D98" s="1112"/>
      <c r="E98" s="1112"/>
      <c r="F98" s="1112"/>
      <c r="G98" s="1112"/>
      <c r="H98" s="1112"/>
      <c r="I98" s="1112"/>
      <c r="J98" s="1112"/>
    </row>
    <row r="99" spans="1:10">
      <c r="A99" s="1112"/>
      <c r="B99" s="1112"/>
      <c r="C99" s="1112"/>
      <c r="D99" s="1112"/>
      <c r="E99" s="1112"/>
      <c r="F99" s="1112"/>
      <c r="G99" s="1112"/>
      <c r="H99" s="1112"/>
      <c r="I99" s="1112"/>
      <c r="J99" s="1112"/>
    </row>
    <row r="100" spans="1:10">
      <c r="A100" s="1112"/>
      <c r="B100" s="1112"/>
      <c r="C100" s="1112"/>
      <c r="D100" s="1112"/>
      <c r="E100" s="1112"/>
      <c r="F100" s="1112"/>
      <c r="G100" s="1112"/>
      <c r="H100" s="1112"/>
      <c r="I100" s="1112"/>
      <c r="J100" s="1112"/>
    </row>
    <row r="101" spans="1:10">
      <c r="A101" s="1112"/>
      <c r="B101" s="1112"/>
      <c r="C101" s="1112"/>
      <c r="D101" s="1112"/>
      <c r="E101" s="1112"/>
      <c r="F101" s="1112"/>
      <c r="G101" s="1112"/>
      <c r="H101" s="1112"/>
      <c r="I101" s="1112"/>
      <c r="J101" s="1112"/>
    </row>
    <row r="102" spans="1:10">
      <c r="A102" s="1112"/>
      <c r="B102" s="1112"/>
      <c r="C102" s="1112"/>
      <c r="D102" s="1112"/>
      <c r="E102" s="1112"/>
      <c r="F102" s="1112"/>
      <c r="G102" s="1112"/>
      <c r="H102" s="1112"/>
      <c r="I102" s="1112"/>
      <c r="J102" s="1112"/>
    </row>
    <row r="103" spans="1:10">
      <c r="A103" s="1112"/>
      <c r="B103" s="1112"/>
      <c r="C103" s="1112"/>
      <c r="D103" s="1112"/>
      <c r="E103" s="1112"/>
      <c r="F103" s="1112"/>
      <c r="G103" s="1112"/>
      <c r="H103" s="1112"/>
      <c r="I103" s="1112"/>
      <c r="J103" s="1112"/>
    </row>
    <row r="104" spans="1:10">
      <c r="A104" s="1112"/>
      <c r="B104" s="1112"/>
      <c r="C104" s="1112"/>
      <c r="D104" s="1112"/>
      <c r="E104" s="1112"/>
      <c r="F104" s="1112"/>
      <c r="G104" s="1112"/>
      <c r="H104" s="1112"/>
      <c r="I104" s="1112"/>
      <c r="J104" s="1112"/>
    </row>
    <row r="105" spans="1:10">
      <c r="A105" s="1112"/>
      <c r="B105" s="1112"/>
      <c r="C105" s="1112"/>
      <c r="D105" s="1112"/>
      <c r="E105" s="1112"/>
      <c r="F105" s="1112"/>
      <c r="G105" s="1112"/>
      <c r="H105" s="1112"/>
      <c r="I105" s="1112"/>
      <c r="J105" s="1112"/>
    </row>
    <row r="106" spans="1:10">
      <c r="A106" s="1112"/>
      <c r="B106" s="1112"/>
      <c r="C106" s="1112"/>
      <c r="D106" s="1112"/>
      <c r="E106" s="1112"/>
      <c r="F106" s="1112"/>
      <c r="G106" s="1112"/>
      <c r="H106" s="1112"/>
      <c r="I106" s="1112"/>
      <c r="J106" s="1112"/>
    </row>
    <row r="107" spans="1:10">
      <c r="A107" s="1112"/>
      <c r="B107" s="1112"/>
      <c r="C107" s="1112"/>
      <c r="D107" s="1112"/>
      <c r="E107" s="1112"/>
      <c r="F107" s="1112"/>
      <c r="G107" s="1112"/>
      <c r="H107" s="1112"/>
      <c r="I107" s="1112"/>
      <c r="J107" s="1112"/>
    </row>
    <row r="108" spans="1:10">
      <c r="A108" s="1112"/>
      <c r="B108" s="1112"/>
      <c r="C108" s="1112"/>
      <c r="D108" s="1112"/>
      <c r="E108" s="1112"/>
      <c r="F108" s="1112"/>
      <c r="G108" s="1112"/>
      <c r="H108" s="1112"/>
      <c r="I108" s="1112"/>
      <c r="J108" s="1112"/>
    </row>
    <row r="109" spans="1:10">
      <c r="A109" s="1112"/>
      <c r="B109" s="1112"/>
      <c r="C109" s="1112"/>
      <c r="D109" s="1112"/>
      <c r="E109" s="1112"/>
      <c r="F109" s="1112"/>
      <c r="G109" s="1112"/>
      <c r="H109" s="1112"/>
      <c r="I109" s="1112"/>
      <c r="J109" s="1112"/>
    </row>
    <row r="110" spans="1:10">
      <c r="A110" s="1112"/>
      <c r="B110" s="1112"/>
      <c r="C110" s="1112"/>
      <c r="D110" s="1112"/>
      <c r="E110" s="1112"/>
      <c r="F110" s="1112"/>
      <c r="G110" s="1112"/>
      <c r="H110" s="1112"/>
      <c r="I110" s="1112"/>
      <c r="J110" s="1112"/>
    </row>
    <row r="111" spans="1:10">
      <c r="A111" s="1112"/>
      <c r="B111" s="1112"/>
      <c r="C111" s="1112"/>
      <c r="D111" s="1112"/>
      <c r="E111" s="1112"/>
      <c r="F111" s="1112"/>
      <c r="G111" s="1112"/>
      <c r="H111" s="1112"/>
      <c r="I111" s="1112"/>
      <c r="J111" s="1112"/>
    </row>
    <row r="112" spans="1:10">
      <c r="A112" s="1112"/>
      <c r="B112" s="1112"/>
      <c r="C112" s="1112"/>
      <c r="D112" s="1112"/>
      <c r="E112" s="1112"/>
      <c r="F112" s="1112"/>
      <c r="G112" s="1112"/>
      <c r="H112" s="1112"/>
      <c r="I112" s="1112"/>
      <c r="J112" s="1112"/>
    </row>
    <row r="113" spans="1:10">
      <c r="A113" s="1112"/>
      <c r="B113" s="1112"/>
      <c r="C113" s="1112"/>
      <c r="D113" s="1112"/>
      <c r="E113" s="1112"/>
      <c r="F113" s="1112"/>
      <c r="G113" s="1112"/>
      <c r="H113" s="1112"/>
      <c r="I113" s="1112"/>
      <c r="J113" s="1112"/>
    </row>
    <row r="114" spans="1:10">
      <c r="A114" s="1112"/>
      <c r="B114" s="1112"/>
      <c r="C114" s="1112"/>
      <c r="D114" s="1112"/>
      <c r="E114" s="1112"/>
      <c r="F114" s="1112"/>
      <c r="G114" s="1112"/>
      <c r="H114" s="1112"/>
      <c r="I114" s="1112"/>
      <c r="J114" s="1112"/>
    </row>
    <row r="115" spans="1:10">
      <c r="A115" s="1112"/>
      <c r="B115" s="1112"/>
      <c r="C115" s="1112"/>
      <c r="D115" s="1112"/>
      <c r="E115" s="1112"/>
      <c r="F115" s="1112"/>
      <c r="G115" s="1112"/>
      <c r="H115" s="1112"/>
      <c r="I115" s="1112"/>
      <c r="J115" s="1112"/>
    </row>
    <row r="116" spans="1:10">
      <c r="A116" s="1112"/>
      <c r="B116" s="1112"/>
      <c r="C116" s="1112"/>
      <c r="D116" s="1112"/>
      <c r="E116" s="1112"/>
      <c r="F116" s="1112"/>
      <c r="G116" s="1112"/>
      <c r="H116" s="1112"/>
      <c r="I116" s="1112"/>
      <c r="J116" s="1112"/>
    </row>
    <row r="117" spans="1:10">
      <c r="A117" s="1112"/>
      <c r="B117" s="1112"/>
      <c r="C117" s="1112"/>
      <c r="D117" s="1112"/>
      <c r="E117" s="1112"/>
      <c r="F117" s="1112"/>
      <c r="G117" s="1112"/>
      <c r="H117" s="1112"/>
      <c r="I117" s="1112"/>
      <c r="J117" s="1112"/>
    </row>
    <row r="118" spans="1:10">
      <c r="A118" s="1112"/>
      <c r="B118" s="1112"/>
      <c r="C118" s="1112"/>
      <c r="D118" s="1112"/>
      <c r="E118" s="1112"/>
      <c r="F118" s="1112"/>
      <c r="G118" s="1112"/>
      <c r="H118" s="1112"/>
      <c r="I118" s="1112"/>
      <c r="J118" s="1112"/>
    </row>
    <row r="119" spans="1:10">
      <c r="A119" s="1112"/>
      <c r="B119" s="1112"/>
      <c r="C119" s="1112"/>
      <c r="D119" s="1112"/>
      <c r="E119" s="1112"/>
      <c r="F119" s="1112"/>
      <c r="G119" s="1112"/>
      <c r="H119" s="1112"/>
      <c r="I119" s="1112"/>
      <c r="J119" s="1112"/>
    </row>
    <row r="120" spans="1:10">
      <c r="A120" s="1112"/>
      <c r="B120" s="1112"/>
      <c r="C120" s="1112"/>
      <c r="D120" s="1112"/>
      <c r="E120" s="1112"/>
      <c r="F120" s="1112"/>
      <c r="G120" s="1112"/>
      <c r="H120" s="1112"/>
      <c r="I120" s="1112"/>
      <c r="J120" s="1112"/>
    </row>
    <row r="121" spans="1:10">
      <c r="A121" s="1112"/>
      <c r="B121" s="1112"/>
      <c r="C121" s="1112"/>
      <c r="D121" s="1112"/>
      <c r="E121" s="1112"/>
      <c r="F121" s="1112"/>
      <c r="G121" s="1112"/>
      <c r="H121" s="1112"/>
      <c r="I121" s="1112"/>
      <c r="J121" s="1112"/>
    </row>
    <row r="122" spans="1:10">
      <c r="A122" s="1112"/>
      <c r="B122" s="1112"/>
      <c r="C122" s="1112"/>
      <c r="D122" s="1112"/>
      <c r="E122" s="1112"/>
      <c r="F122" s="1112"/>
      <c r="G122" s="1112"/>
      <c r="H122" s="1112"/>
      <c r="I122" s="1112"/>
      <c r="J122" s="1112"/>
    </row>
    <row r="123" spans="1:10">
      <c r="A123" s="1112"/>
      <c r="B123" s="1112"/>
      <c r="C123" s="1112"/>
      <c r="D123" s="1112"/>
      <c r="E123" s="1112"/>
      <c r="F123" s="1112"/>
      <c r="G123" s="1112"/>
      <c r="H123" s="1112"/>
      <c r="I123" s="1112"/>
      <c r="J123" s="1112"/>
    </row>
    <row r="124" spans="1:10">
      <c r="A124" s="1112"/>
      <c r="B124" s="1112"/>
      <c r="C124" s="1112"/>
      <c r="D124" s="1112"/>
      <c r="E124" s="1112"/>
      <c r="F124" s="1112"/>
      <c r="G124" s="1112"/>
      <c r="H124" s="1112"/>
      <c r="I124" s="1112"/>
      <c r="J124" s="1112"/>
    </row>
    <row r="125" spans="1:10">
      <c r="A125" s="1112"/>
      <c r="B125" s="1112"/>
      <c r="C125" s="1112"/>
      <c r="D125" s="1112"/>
      <c r="E125" s="1112"/>
      <c r="F125" s="1112"/>
      <c r="G125" s="1112"/>
      <c r="H125" s="1112"/>
      <c r="I125" s="1112"/>
      <c r="J125" s="1112"/>
    </row>
    <row r="126" spans="1:10">
      <c r="A126" s="1112"/>
      <c r="B126" s="1112"/>
      <c r="C126" s="1112"/>
      <c r="D126" s="1112"/>
      <c r="E126" s="1112"/>
      <c r="F126" s="1112"/>
      <c r="G126" s="1112"/>
      <c r="H126" s="1112"/>
      <c r="I126" s="1112"/>
      <c r="J126" s="1112"/>
    </row>
    <row r="127" spans="1:10">
      <c r="A127" s="1112"/>
      <c r="B127" s="1112"/>
      <c r="C127" s="1112"/>
      <c r="D127" s="1112"/>
      <c r="E127" s="1112"/>
      <c r="F127" s="1112"/>
      <c r="G127" s="1112"/>
      <c r="H127" s="1112"/>
      <c r="I127" s="1112"/>
      <c r="J127" s="1112"/>
    </row>
    <row r="128" spans="1:10">
      <c r="A128" s="1112"/>
      <c r="B128" s="1112"/>
      <c r="C128" s="1112"/>
      <c r="D128" s="1112"/>
      <c r="E128" s="1112"/>
      <c r="F128" s="1112"/>
      <c r="G128" s="1112"/>
      <c r="H128" s="1112"/>
      <c r="I128" s="1112"/>
      <c r="J128" s="1112"/>
    </row>
    <row r="129" spans="1:10">
      <c r="A129" s="1112"/>
      <c r="B129" s="1112"/>
      <c r="C129" s="1112"/>
      <c r="D129" s="1112"/>
      <c r="E129" s="1112"/>
      <c r="F129" s="1112"/>
      <c r="G129" s="1112"/>
      <c r="H129" s="1112"/>
      <c r="I129" s="1112"/>
      <c r="J129" s="1112"/>
    </row>
    <row r="130" spans="1:10">
      <c r="A130" s="1112"/>
      <c r="B130" s="1112"/>
      <c r="C130" s="1112"/>
      <c r="D130" s="1112"/>
      <c r="E130" s="1112"/>
      <c r="F130" s="1112"/>
      <c r="G130" s="1112"/>
      <c r="H130" s="1112"/>
      <c r="I130" s="1112"/>
      <c r="J130" s="1112"/>
    </row>
    <row r="131" spans="1:10">
      <c r="A131" s="1112"/>
      <c r="B131" s="1112"/>
      <c r="C131" s="1112"/>
      <c r="D131" s="1112"/>
      <c r="E131" s="1112"/>
      <c r="F131" s="1112"/>
      <c r="G131" s="1112"/>
      <c r="H131" s="1112"/>
      <c r="I131" s="1112"/>
      <c r="J131" s="1112"/>
    </row>
    <row r="132" spans="1:10">
      <c r="A132" s="1112"/>
      <c r="B132" s="1112"/>
      <c r="C132" s="1112"/>
      <c r="D132" s="1112"/>
      <c r="E132" s="1112"/>
      <c r="F132" s="1112"/>
      <c r="G132" s="1112"/>
      <c r="H132" s="1112"/>
      <c r="I132" s="1112"/>
      <c r="J132" s="1112"/>
    </row>
    <row r="133" spans="1:10">
      <c r="A133" s="1112"/>
      <c r="B133" s="1112"/>
      <c r="C133" s="1112"/>
      <c r="D133" s="1112"/>
      <c r="E133" s="1112"/>
      <c r="F133" s="1112"/>
      <c r="G133" s="1112"/>
      <c r="H133" s="1112"/>
      <c r="I133" s="1112"/>
      <c r="J133" s="1112"/>
    </row>
    <row r="134" spans="1:10">
      <c r="A134" s="1112"/>
      <c r="B134" s="1112"/>
      <c r="C134" s="1112"/>
      <c r="D134" s="1112"/>
      <c r="E134" s="1112"/>
      <c r="F134" s="1112"/>
      <c r="G134" s="1112"/>
      <c r="H134" s="1112"/>
      <c r="I134" s="1112"/>
      <c r="J134" s="1112"/>
    </row>
    <row r="135" spans="1:10">
      <c r="A135" s="1112"/>
      <c r="B135" s="1112"/>
      <c r="C135" s="1112"/>
      <c r="D135" s="1112"/>
      <c r="E135" s="1112"/>
      <c r="F135" s="1112"/>
      <c r="G135" s="1112"/>
      <c r="H135" s="1112"/>
      <c r="I135" s="1112"/>
      <c r="J135" s="1112"/>
    </row>
    <row r="136" spans="1:10">
      <c r="A136" s="1112"/>
      <c r="B136" s="1112"/>
      <c r="C136" s="1112"/>
      <c r="D136" s="1112"/>
      <c r="E136" s="1112"/>
      <c r="F136" s="1112"/>
      <c r="G136" s="1112"/>
      <c r="H136" s="1112"/>
      <c r="I136" s="1112"/>
      <c r="J136" s="1112"/>
    </row>
    <row r="137" spans="1:10">
      <c r="A137" s="1112"/>
      <c r="B137" s="1112"/>
      <c r="C137" s="1112"/>
      <c r="D137" s="1112"/>
      <c r="E137" s="1112"/>
      <c r="F137" s="1112"/>
      <c r="G137" s="1112"/>
      <c r="H137" s="1112"/>
      <c r="I137" s="1112"/>
      <c r="J137" s="1112"/>
    </row>
    <row r="138" spans="1:10">
      <c r="A138" s="1112"/>
      <c r="B138" s="1112"/>
      <c r="C138" s="1112"/>
      <c r="D138" s="1112"/>
      <c r="E138" s="1112"/>
      <c r="F138" s="1112"/>
      <c r="G138" s="1112"/>
      <c r="H138" s="1112"/>
      <c r="I138" s="1112"/>
      <c r="J138" s="1112"/>
    </row>
    <row r="139" spans="1:10">
      <c r="A139" s="1112"/>
      <c r="B139" s="1112"/>
      <c r="C139" s="1112"/>
      <c r="D139" s="1112"/>
      <c r="E139" s="1112"/>
      <c r="F139" s="1112"/>
      <c r="G139" s="1112"/>
      <c r="H139" s="1112"/>
      <c r="I139" s="1112"/>
      <c r="J139" s="1112"/>
    </row>
    <row r="140" spans="1:10">
      <c r="A140" s="1112"/>
      <c r="B140" s="1112"/>
      <c r="C140" s="1112"/>
      <c r="D140" s="1112"/>
      <c r="E140" s="1112"/>
      <c r="F140" s="1112"/>
      <c r="G140" s="1112"/>
      <c r="H140" s="1112"/>
      <c r="I140" s="1112"/>
      <c r="J140" s="1112"/>
    </row>
    <row r="141" spans="1:10">
      <c r="A141" s="1112"/>
      <c r="B141" s="1112"/>
      <c r="C141" s="1112"/>
      <c r="D141" s="1112"/>
      <c r="E141" s="1112"/>
      <c r="F141" s="1112"/>
      <c r="G141" s="1112"/>
      <c r="H141" s="1112"/>
      <c r="I141" s="1112"/>
      <c r="J141" s="1112"/>
    </row>
    <row r="142" spans="1:10">
      <c r="A142" s="1112"/>
      <c r="B142" s="1112"/>
      <c r="C142" s="1112"/>
      <c r="D142" s="1112"/>
      <c r="E142" s="1112"/>
      <c r="F142" s="1112"/>
      <c r="G142" s="1112"/>
      <c r="H142" s="1112"/>
      <c r="I142" s="1112"/>
      <c r="J142" s="1112"/>
    </row>
    <row r="143" spans="1:10">
      <c r="A143" s="1112"/>
      <c r="B143" s="1112"/>
      <c r="C143" s="1112"/>
      <c r="D143" s="1112"/>
      <c r="E143" s="1112"/>
      <c r="F143" s="1112"/>
      <c r="G143" s="1112"/>
      <c r="H143" s="1112"/>
      <c r="I143" s="1112"/>
      <c r="J143" s="1112"/>
    </row>
    <row r="144" spans="1:10">
      <c r="A144" s="1112"/>
      <c r="B144" s="1112"/>
      <c r="C144" s="1112"/>
      <c r="D144" s="1112"/>
      <c r="E144" s="1112"/>
      <c r="F144" s="1112"/>
      <c r="G144" s="1112"/>
      <c r="H144" s="1112"/>
      <c r="I144" s="1112"/>
      <c r="J144" s="1112"/>
    </row>
    <row r="145" spans="1:10">
      <c r="A145" s="1112"/>
      <c r="B145" s="1112"/>
      <c r="C145" s="1112"/>
      <c r="D145" s="1112"/>
      <c r="E145" s="1112"/>
      <c r="F145" s="1112"/>
      <c r="G145" s="1112"/>
      <c r="H145" s="1112"/>
      <c r="I145" s="1112"/>
      <c r="J145" s="1112"/>
    </row>
    <row r="146" spans="1:10">
      <c r="A146" s="1112"/>
      <c r="B146" s="1112"/>
      <c r="C146" s="1112"/>
      <c r="D146" s="1112"/>
      <c r="E146" s="1112"/>
      <c r="F146" s="1112"/>
      <c r="G146" s="1112"/>
      <c r="H146" s="1112"/>
      <c r="I146" s="1112"/>
      <c r="J146" s="1112"/>
    </row>
    <row r="147" spans="1:10">
      <c r="A147" s="1112"/>
      <c r="B147" s="1112"/>
      <c r="C147" s="1112"/>
      <c r="D147" s="1112"/>
      <c r="E147" s="1112"/>
      <c r="F147" s="1112"/>
      <c r="G147" s="1112"/>
      <c r="H147" s="1112"/>
      <c r="I147" s="1112"/>
      <c r="J147" s="1112"/>
    </row>
    <row r="148" spans="1:10">
      <c r="A148" s="1112"/>
      <c r="B148" s="1112"/>
      <c r="C148" s="1112"/>
      <c r="D148" s="1112"/>
      <c r="E148" s="1112"/>
      <c r="F148" s="1112"/>
      <c r="G148" s="1112"/>
      <c r="H148" s="1112"/>
      <c r="I148" s="1112"/>
      <c r="J148" s="1112"/>
    </row>
    <row r="149" spans="1:10">
      <c r="A149" s="1112"/>
      <c r="B149" s="1112"/>
      <c r="C149" s="1112"/>
      <c r="D149" s="1112"/>
      <c r="E149" s="1112"/>
      <c r="F149" s="1112"/>
      <c r="G149" s="1112"/>
      <c r="H149" s="1112"/>
      <c r="I149" s="1112"/>
      <c r="J149" s="1112"/>
    </row>
    <row r="150" spans="1:10">
      <c r="A150" s="1112"/>
      <c r="B150" s="1112"/>
      <c r="C150" s="1112"/>
      <c r="D150" s="1112"/>
      <c r="E150" s="1112"/>
      <c r="F150" s="1112"/>
      <c r="G150" s="1112"/>
      <c r="H150" s="1112"/>
      <c r="I150" s="1112"/>
      <c r="J150" s="1112"/>
    </row>
    <row r="151" spans="1:10">
      <c r="A151" s="1112"/>
      <c r="B151" s="1112"/>
      <c r="C151" s="1112"/>
      <c r="D151" s="1112"/>
      <c r="E151" s="1112"/>
      <c r="F151" s="1112"/>
      <c r="G151" s="1112"/>
      <c r="H151" s="1112"/>
      <c r="I151" s="1112"/>
      <c r="J151" s="1112"/>
    </row>
    <row r="152" spans="1:10">
      <c r="A152" s="1112"/>
      <c r="B152" s="1112"/>
      <c r="C152" s="1112"/>
      <c r="D152" s="1112"/>
      <c r="E152" s="1112"/>
      <c r="F152" s="1112"/>
      <c r="G152" s="1112"/>
      <c r="H152" s="1112"/>
      <c r="I152" s="1112"/>
      <c r="J152" s="1112"/>
    </row>
    <row r="153" spans="1:10">
      <c r="A153" s="1112"/>
      <c r="B153" s="1112"/>
      <c r="C153" s="1112"/>
      <c r="D153" s="1112"/>
      <c r="E153" s="1112"/>
      <c r="F153" s="1112"/>
      <c r="G153" s="1112"/>
      <c r="H153" s="1112"/>
      <c r="I153" s="1112"/>
      <c r="J153" s="1112"/>
    </row>
    <row r="154" spans="1:10">
      <c r="A154" s="1112"/>
      <c r="B154" s="1112"/>
      <c r="C154" s="1112"/>
      <c r="D154" s="1112"/>
      <c r="E154" s="1112"/>
      <c r="F154" s="1112"/>
      <c r="G154" s="1112"/>
      <c r="H154" s="1112"/>
      <c r="I154" s="1112"/>
      <c r="J154" s="1112"/>
    </row>
    <row r="155" spans="1:10">
      <c r="A155" s="1112"/>
      <c r="B155" s="1112"/>
      <c r="C155" s="1112"/>
      <c r="D155" s="1112"/>
      <c r="E155" s="1112"/>
      <c r="F155" s="1112"/>
      <c r="G155" s="1112"/>
      <c r="H155" s="1112"/>
      <c r="I155" s="1112"/>
      <c r="J155" s="1112"/>
    </row>
    <row r="156" spans="1:10">
      <c r="A156" s="1112"/>
      <c r="B156" s="1112"/>
      <c r="C156" s="1112"/>
      <c r="D156" s="1112"/>
      <c r="E156" s="1112"/>
      <c r="F156" s="1112"/>
      <c r="G156" s="1112"/>
      <c r="H156" s="1112"/>
      <c r="I156" s="1112"/>
      <c r="J156" s="1112"/>
    </row>
    <row r="157" spans="1:10">
      <c r="A157" s="1112"/>
      <c r="B157" s="1112"/>
      <c r="C157" s="1112"/>
      <c r="D157" s="1112"/>
      <c r="E157" s="1112"/>
      <c r="F157" s="1112"/>
      <c r="G157" s="1112"/>
      <c r="H157" s="1112"/>
      <c r="I157" s="1112"/>
      <c r="J157" s="1112"/>
    </row>
    <row r="158" spans="1:10">
      <c r="A158" s="1112"/>
      <c r="B158" s="1112"/>
      <c r="C158" s="1112"/>
      <c r="D158" s="1112"/>
      <c r="E158" s="1112"/>
      <c r="F158" s="1112"/>
      <c r="G158" s="1112"/>
      <c r="H158" s="1112"/>
      <c r="I158" s="1112"/>
      <c r="J158" s="1112"/>
    </row>
    <row r="159" spans="1:10">
      <c r="A159" s="1112"/>
      <c r="B159" s="1112"/>
      <c r="C159" s="1112"/>
      <c r="D159" s="1112"/>
      <c r="E159" s="1112"/>
      <c r="F159" s="1112"/>
      <c r="G159" s="1112"/>
      <c r="H159" s="1112"/>
      <c r="I159" s="1112"/>
      <c r="J159" s="1112"/>
    </row>
    <row r="160" spans="1:10">
      <c r="A160" s="1112"/>
      <c r="B160" s="1112"/>
      <c r="C160" s="1112"/>
      <c r="D160" s="1112"/>
      <c r="E160" s="1112"/>
      <c r="F160" s="1112"/>
      <c r="G160" s="1112"/>
      <c r="H160" s="1112"/>
      <c r="I160" s="1112"/>
      <c r="J160" s="1112"/>
    </row>
    <row r="161" spans="1:10">
      <c r="A161" s="1112"/>
      <c r="B161" s="1112"/>
      <c r="C161" s="1112"/>
      <c r="D161" s="1112"/>
      <c r="E161" s="1112"/>
      <c r="F161" s="1112"/>
      <c r="G161" s="1112"/>
      <c r="H161" s="1112"/>
      <c r="I161" s="1112"/>
      <c r="J161" s="1112"/>
    </row>
    <row r="162" spans="1:10">
      <c r="A162" s="1112"/>
      <c r="B162" s="1112"/>
      <c r="C162" s="1112"/>
      <c r="D162" s="1112"/>
      <c r="E162" s="1112"/>
      <c r="F162" s="1112"/>
      <c r="G162" s="1112"/>
      <c r="H162" s="1112"/>
      <c r="I162" s="1112"/>
      <c r="J162" s="1112"/>
    </row>
    <row r="163" spans="1:10">
      <c r="A163" s="1112"/>
      <c r="B163" s="1112"/>
      <c r="C163" s="1112"/>
      <c r="D163" s="1112"/>
      <c r="E163" s="1112"/>
      <c r="F163" s="1112"/>
      <c r="G163" s="1112"/>
      <c r="H163" s="1112"/>
      <c r="I163" s="1112"/>
      <c r="J163" s="1112"/>
    </row>
    <row r="164" spans="1:10">
      <c r="A164" s="1112"/>
      <c r="B164" s="1112"/>
      <c r="C164" s="1112"/>
      <c r="D164" s="1112"/>
      <c r="E164" s="1112"/>
      <c r="F164" s="1112"/>
      <c r="G164" s="1112"/>
      <c r="H164" s="1112"/>
      <c r="I164" s="1112"/>
      <c r="J164" s="1112"/>
    </row>
    <row r="165" spans="1:10">
      <c r="A165" s="1112"/>
      <c r="B165" s="1112"/>
      <c r="C165" s="1112"/>
      <c r="D165" s="1112"/>
      <c r="E165" s="1112"/>
      <c r="F165" s="1112"/>
      <c r="G165" s="1112"/>
      <c r="H165" s="1112"/>
      <c r="I165" s="1112"/>
      <c r="J165" s="1112"/>
    </row>
    <row r="166" spans="1:10">
      <c r="A166" s="1112"/>
      <c r="B166" s="1112"/>
      <c r="C166" s="1112"/>
      <c r="D166" s="1112"/>
      <c r="E166" s="1112"/>
      <c r="F166" s="1112"/>
      <c r="G166" s="1112"/>
      <c r="H166" s="1112"/>
      <c r="I166" s="1112"/>
      <c r="J166" s="1112"/>
    </row>
    <row r="167" spans="1:10">
      <c r="A167" s="1112"/>
      <c r="B167" s="1112"/>
      <c r="C167" s="1112"/>
      <c r="D167" s="1112"/>
      <c r="E167" s="1112"/>
      <c r="F167" s="1112"/>
      <c r="G167" s="1112"/>
      <c r="H167" s="1112"/>
      <c r="I167" s="1112"/>
      <c r="J167" s="1112"/>
    </row>
    <row r="168" spans="1:10">
      <c r="A168" s="1112"/>
      <c r="B168" s="1112"/>
      <c r="C168" s="1112"/>
      <c r="D168" s="1112"/>
      <c r="E168" s="1112"/>
      <c r="F168" s="1112"/>
      <c r="G168" s="1112"/>
      <c r="H168" s="1112"/>
      <c r="I168" s="1112"/>
      <c r="J168" s="1112"/>
    </row>
    <row r="169" spans="1:10">
      <c r="A169" s="1112"/>
      <c r="B169" s="1112"/>
      <c r="C169" s="1112"/>
      <c r="D169" s="1112"/>
      <c r="E169" s="1112"/>
      <c r="F169" s="1112"/>
      <c r="G169" s="1112"/>
      <c r="H169" s="1112"/>
      <c r="I169" s="1112"/>
      <c r="J169" s="1112"/>
    </row>
    <row r="170" spans="1:10">
      <c r="A170" s="1112"/>
      <c r="B170" s="1112"/>
      <c r="C170" s="1112"/>
      <c r="D170" s="1112"/>
      <c r="E170" s="1112"/>
      <c r="F170" s="1112"/>
      <c r="G170" s="1112"/>
      <c r="H170" s="1112"/>
      <c r="I170" s="1112"/>
      <c r="J170" s="1112"/>
    </row>
    <row r="171" spans="1:10">
      <c r="A171" s="1112"/>
      <c r="B171" s="1112"/>
      <c r="C171" s="1112"/>
      <c r="D171" s="1112"/>
      <c r="E171" s="1112"/>
      <c r="F171" s="1112"/>
      <c r="G171" s="1112"/>
      <c r="H171" s="1112"/>
      <c r="I171" s="1112"/>
      <c r="J171" s="1112"/>
    </row>
    <row r="172" spans="1:10">
      <c r="A172" s="1112"/>
      <c r="B172" s="1112"/>
      <c r="C172" s="1112"/>
      <c r="D172" s="1112"/>
      <c r="E172" s="1112"/>
      <c r="F172" s="1112"/>
      <c r="G172" s="1112"/>
      <c r="H172" s="1112"/>
      <c r="I172" s="1112"/>
      <c r="J172" s="1112"/>
    </row>
    <row r="173" spans="1:10">
      <c r="A173" s="1112"/>
      <c r="B173" s="1112"/>
      <c r="C173" s="1112"/>
      <c r="D173" s="1112"/>
      <c r="E173" s="1112"/>
      <c r="F173" s="1112"/>
      <c r="G173" s="1112"/>
      <c r="H173" s="1112"/>
      <c r="I173" s="1112"/>
      <c r="J173" s="1112"/>
    </row>
    <row r="174" spans="1:10">
      <c r="A174" s="1112"/>
      <c r="B174" s="1112"/>
      <c r="C174" s="1112"/>
      <c r="D174" s="1112"/>
      <c r="E174" s="1112"/>
      <c r="F174" s="1112"/>
      <c r="G174" s="1112"/>
      <c r="H174" s="1112"/>
      <c r="I174" s="1112"/>
      <c r="J174" s="1112"/>
    </row>
    <row r="175" spans="1:10">
      <c r="A175" s="1112"/>
      <c r="B175" s="1112"/>
      <c r="C175" s="1112"/>
      <c r="D175" s="1112"/>
      <c r="E175" s="1112"/>
      <c r="F175" s="1112"/>
      <c r="G175" s="1112"/>
      <c r="H175" s="1112"/>
      <c r="I175" s="1112"/>
      <c r="J175" s="1112"/>
    </row>
    <row r="176" spans="1:10">
      <c r="A176" s="1112"/>
      <c r="B176" s="1112"/>
      <c r="C176" s="1112"/>
      <c r="D176" s="1112"/>
      <c r="E176" s="1112"/>
      <c r="F176" s="1112"/>
      <c r="G176" s="1112"/>
      <c r="H176" s="1112"/>
      <c r="I176" s="1112"/>
      <c r="J176" s="1112"/>
    </row>
    <row r="177" spans="1:10">
      <c r="A177" s="1112"/>
      <c r="B177" s="1112"/>
      <c r="C177" s="1112"/>
      <c r="D177" s="1112"/>
      <c r="E177" s="1112"/>
      <c r="F177" s="1112"/>
      <c r="G177" s="1112"/>
      <c r="H177" s="1112"/>
      <c r="I177" s="1112"/>
      <c r="J177" s="1112"/>
    </row>
    <row r="178" spans="1:10">
      <c r="A178" s="1112"/>
      <c r="B178" s="1112"/>
      <c r="C178" s="1112"/>
      <c r="D178" s="1112"/>
      <c r="E178" s="1112"/>
      <c r="F178" s="1112"/>
      <c r="G178" s="1112"/>
      <c r="H178" s="1112"/>
      <c r="I178" s="1112"/>
      <c r="J178" s="1112"/>
    </row>
    <row r="179" spans="1:10">
      <c r="A179" s="1112"/>
      <c r="B179" s="1112"/>
      <c r="C179" s="1112"/>
      <c r="D179" s="1112"/>
      <c r="E179" s="1112"/>
      <c r="F179" s="1112"/>
      <c r="G179" s="1112"/>
      <c r="H179" s="1112"/>
      <c r="I179" s="1112"/>
      <c r="J179" s="1112"/>
    </row>
    <row r="180" spans="1:10">
      <c r="A180" s="1112"/>
      <c r="B180" s="1112"/>
      <c r="C180" s="1112"/>
      <c r="D180" s="1112"/>
      <c r="E180" s="1112"/>
      <c r="F180" s="1112"/>
      <c r="G180" s="1112"/>
      <c r="H180" s="1112"/>
      <c r="I180" s="1112"/>
      <c r="J180" s="1112"/>
    </row>
    <row r="181" spans="1:10">
      <c r="A181" s="1112"/>
      <c r="B181" s="1112"/>
      <c r="C181" s="1112"/>
      <c r="D181" s="1112"/>
      <c r="E181" s="1112"/>
      <c r="F181" s="1112"/>
      <c r="G181" s="1112"/>
      <c r="H181" s="1112"/>
      <c r="I181" s="1112"/>
      <c r="J181" s="1112"/>
    </row>
    <row r="182" spans="1:10">
      <c r="A182" s="1112"/>
      <c r="B182" s="1112"/>
      <c r="C182" s="1112"/>
      <c r="D182" s="1112"/>
      <c r="E182" s="1112"/>
      <c r="F182" s="1112"/>
      <c r="G182" s="1112"/>
      <c r="H182" s="1112"/>
      <c r="I182" s="1112"/>
      <c r="J182" s="1112"/>
    </row>
    <row r="183" spans="1:10">
      <c r="A183" s="1112"/>
      <c r="B183" s="1112"/>
      <c r="C183" s="1112"/>
      <c r="D183" s="1112"/>
      <c r="E183" s="1112"/>
      <c r="F183" s="1112"/>
      <c r="G183" s="1112"/>
      <c r="H183" s="1112"/>
      <c r="I183" s="1112"/>
      <c r="J183" s="1112"/>
    </row>
    <row r="184" spans="1:10">
      <c r="A184" s="1112"/>
      <c r="B184" s="1112"/>
      <c r="C184" s="1112"/>
      <c r="D184" s="1112"/>
      <c r="E184" s="1112"/>
      <c r="F184" s="1112"/>
      <c r="G184" s="1112"/>
      <c r="H184" s="1112"/>
      <c r="I184" s="1112"/>
      <c r="J184" s="1112"/>
    </row>
    <row r="185" spans="1:10">
      <c r="A185" s="1112"/>
      <c r="B185" s="1112"/>
      <c r="C185" s="1112"/>
      <c r="D185" s="1112"/>
      <c r="E185" s="1112"/>
      <c r="F185" s="1112"/>
      <c r="G185" s="1112"/>
      <c r="H185" s="1112"/>
      <c r="I185" s="1112"/>
      <c r="J185" s="1112"/>
    </row>
    <row r="186" spans="1:10">
      <c r="A186" s="1112"/>
      <c r="B186" s="1112"/>
      <c r="C186" s="1112"/>
      <c r="D186" s="1112"/>
      <c r="E186" s="1112"/>
      <c r="F186" s="1112"/>
      <c r="G186" s="1112"/>
      <c r="H186" s="1112"/>
      <c r="I186" s="1112"/>
      <c r="J186" s="1112"/>
    </row>
    <row r="187" spans="1:10">
      <c r="A187" s="1112"/>
      <c r="B187" s="1112"/>
      <c r="C187" s="1112"/>
      <c r="D187" s="1112"/>
      <c r="E187" s="1112"/>
      <c r="F187" s="1112"/>
      <c r="G187" s="1112"/>
      <c r="H187" s="1112"/>
      <c r="I187" s="1112"/>
      <c r="J187" s="1112"/>
    </row>
    <row r="188" spans="1:10">
      <c r="A188" s="1112"/>
      <c r="B188" s="1112"/>
      <c r="C188" s="1112"/>
      <c r="D188" s="1112"/>
      <c r="E188" s="1112"/>
      <c r="F188" s="1112"/>
      <c r="G188" s="1112"/>
      <c r="H188" s="1112"/>
      <c r="I188" s="1112"/>
      <c r="J188" s="1112"/>
    </row>
    <row r="189" spans="1:10">
      <c r="A189" s="1112"/>
      <c r="B189" s="1112"/>
      <c r="C189" s="1112"/>
      <c r="D189" s="1112"/>
      <c r="E189" s="1112"/>
      <c r="F189" s="1112"/>
      <c r="G189" s="1112"/>
      <c r="H189" s="1112"/>
      <c r="I189" s="1112"/>
      <c r="J189" s="1112"/>
    </row>
    <row r="190" spans="1:10">
      <c r="A190" s="1112"/>
      <c r="B190" s="1112"/>
      <c r="C190" s="1112"/>
      <c r="D190" s="1112"/>
      <c r="E190" s="1112"/>
      <c r="F190" s="1112"/>
      <c r="G190" s="1112"/>
      <c r="H190" s="1112"/>
      <c r="I190" s="1112"/>
      <c r="J190" s="1112"/>
    </row>
    <row r="191" spans="1:10">
      <c r="A191" s="1112"/>
      <c r="B191" s="1112"/>
      <c r="C191" s="1112"/>
      <c r="D191" s="1112"/>
      <c r="E191" s="1112"/>
      <c r="F191" s="1112"/>
      <c r="G191" s="1112"/>
      <c r="H191" s="1112"/>
      <c r="I191" s="1112"/>
      <c r="J191" s="1112"/>
    </row>
    <row r="192" spans="1:10">
      <c r="A192" s="1112"/>
      <c r="B192" s="1112"/>
      <c r="C192" s="1112"/>
      <c r="D192" s="1112"/>
      <c r="E192" s="1112"/>
      <c r="F192" s="1112"/>
      <c r="G192" s="1112"/>
      <c r="H192" s="1112"/>
      <c r="I192" s="1112"/>
      <c r="J192" s="1112"/>
    </row>
    <row r="193" spans="1:10">
      <c r="A193" s="1112"/>
      <c r="B193" s="1112"/>
      <c r="C193" s="1112"/>
      <c r="D193" s="1112"/>
      <c r="E193" s="1112"/>
      <c r="F193" s="1112"/>
      <c r="G193" s="1112"/>
      <c r="H193" s="1112"/>
      <c r="I193" s="1112"/>
      <c r="J193" s="1112"/>
    </row>
    <row r="194" spans="1:10">
      <c r="A194" s="1112"/>
      <c r="B194" s="1112"/>
      <c r="C194" s="1112"/>
      <c r="D194" s="1112"/>
      <c r="E194" s="1112"/>
      <c r="F194" s="1112"/>
      <c r="G194" s="1112"/>
      <c r="H194" s="1112"/>
      <c r="I194" s="1112"/>
      <c r="J194" s="1112"/>
    </row>
    <row r="195" spans="1:10">
      <c r="A195" s="1112"/>
      <c r="B195" s="1112"/>
      <c r="C195" s="1112"/>
      <c r="D195" s="1112"/>
      <c r="E195" s="1112"/>
      <c r="F195" s="1112"/>
      <c r="G195" s="1112"/>
      <c r="H195" s="1112"/>
      <c r="I195" s="1112"/>
      <c r="J195" s="1112"/>
    </row>
    <row r="196" spans="1:10">
      <c r="A196" s="1112"/>
      <c r="B196" s="1112"/>
      <c r="C196" s="1112"/>
      <c r="D196" s="1112"/>
      <c r="E196" s="1112"/>
      <c r="F196" s="1112"/>
      <c r="G196" s="1112"/>
      <c r="H196" s="1112"/>
      <c r="I196" s="1112"/>
      <c r="J196" s="1112"/>
    </row>
    <row r="197" spans="1:10">
      <c r="A197" s="1112"/>
      <c r="B197" s="1112"/>
      <c r="C197" s="1112"/>
      <c r="D197" s="1112"/>
      <c r="E197" s="1112"/>
      <c r="F197" s="1112"/>
      <c r="G197" s="1112"/>
      <c r="H197" s="1112"/>
      <c r="I197" s="1112"/>
      <c r="J197" s="1112"/>
    </row>
    <row r="198" spans="1:10">
      <c r="A198" s="1112"/>
      <c r="B198" s="1112"/>
      <c r="C198" s="1112"/>
      <c r="D198" s="1112"/>
      <c r="E198" s="1112"/>
      <c r="F198" s="1112"/>
      <c r="G198" s="1112"/>
      <c r="H198" s="1112"/>
      <c r="I198" s="1112"/>
      <c r="J198" s="1112"/>
    </row>
    <row r="199" spans="1:10">
      <c r="A199" s="1112"/>
      <c r="B199" s="1112"/>
      <c r="C199" s="1112"/>
      <c r="D199" s="1112"/>
      <c r="E199" s="1112"/>
      <c r="F199" s="1112"/>
      <c r="G199" s="1112"/>
      <c r="H199" s="1112"/>
      <c r="I199" s="1112"/>
      <c r="J199" s="1112"/>
    </row>
    <row r="200" spans="1:10">
      <c r="A200" s="1112"/>
      <c r="B200" s="1112"/>
      <c r="C200" s="1112"/>
      <c r="D200" s="1112"/>
      <c r="E200" s="1112"/>
      <c r="F200" s="1112"/>
      <c r="G200" s="1112"/>
      <c r="H200" s="1112"/>
      <c r="I200" s="1112"/>
      <c r="J200" s="1112"/>
    </row>
    <row r="201" spans="1:10">
      <c r="A201" s="1112"/>
      <c r="B201" s="1112"/>
      <c r="C201" s="1112"/>
      <c r="D201" s="1112"/>
      <c r="E201" s="1112"/>
      <c r="F201" s="1112"/>
      <c r="G201" s="1112"/>
      <c r="H201" s="1112"/>
      <c r="I201" s="1112"/>
      <c r="J201" s="1112"/>
    </row>
    <row r="202" spans="1:10">
      <c r="A202" s="1112"/>
      <c r="B202" s="1112"/>
      <c r="C202" s="1112"/>
      <c r="D202" s="1112"/>
      <c r="E202" s="1112"/>
      <c r="F202" s="1112"/>
      <c r="G202" s="1112"/>
      <c r="H202" s="1112"/>
      <c r="I202" s="1112"/>
      <c r="J202" s="1112"/>
    </row>
    <row r="203" spans="1:10">
      <c r="A203" s="1112"/>
      <c r="B203" s="1112"/>
      <c r="C203" s="1112"/>
      <c r="D203" s="1112"/>
      <c r="E203" s="1112"/>
      <c r="F203" s="1112"/>
      <c r="G203" s="1112"/>
      <c r="H203" s="1112"/>
      <c r="I203" s="1112"/>
      <c r="J203" s="1112"/>
    </row>
    <row r="204" spans="1:10">
      <c r="A204" s="1112"/>
      <c r="B204" s="1112"/>
      <c r="C204" s="1112"/>
      <c r="D204" s="1112"/>
      <c r="E204" s="1112"/>
      <c r="F204" s="1112"/>
      <c r="G204" s="1112"/>
      <c r="H204" s="1112"/>
      <c r="I204" s="1112"/>
      <c r="J204" s="1112"/>
    </row>
    <row r="205" spans="1:10">
      <c r="A205" s="1112"/>
      <c r="B205" s="1112"/>
      <c r="C205" s="1112"/>
      <c r="D205" s="1112"/>
      <c r="E205" s="1112"/>
      <c r="F205" s="1112"/>
      <c r="G205" s="1112"/>
      <c r="H205" s="1112"/>
      <c r="I205" s="1112"/>
      <c r="J205" s="1112"/>
    </row>
    <row r="206" spans="1:10">
      <c r="A206" s="1112"/>
      <c r="B206" s="1112"/>
      <c r="C206" s="1112"/>
      <c r="D206" s="1112"/>
      <c r="E206" s="1112"/>
      <c r="F206" s="1112"/>
      <c r="G206" s="1112"/>
      <c r="H206" s="1112"/>
      <c r="I206" s="1112"/>
      <c r="J206" s="1112"/>
    </row>
    <row r="207" spans="1:10">
      <c r="A207" s="1112"/>
      <c r="B207" s="1112"/>
      <c r="C207" s="1112"/>
      <c r="D207" s="1112"/>
      <c r="E207" s="1112"/>
      <c r="F207" s="1112"/>
      <c r="G207" s="1112"/>
      <c r="H207" s="1112"/>
      <c r="I207" s="1112"/>
      <c r="J207" s="1112"/>
    </row>
    <row r="208" spans="1:10">
      <c r="A208" s="1112"/>
      <c r="B208" s="1112"/>
      <c r="C208" s="1112"/>
      <c r="D208" s="1112"/>
      <c r="E208" s="1112"/>
      <c r="F208" s="1112"/>
      <c r="G208" s="1112"/>
      <c r="H208" s="1112"/>
      <c r="I208" s="1112"/>
      <c r="J208" s="1112"/>
    </row>
    <row r="209" spans="1:10">
      <c r="A209" s="1112"/>
      <c r="B209" s="1112"/>
      <c r="C209" s="1112"/>
      <c r="D209" s="1112"/>
      <c r="E209" s="1112"/>
      <c r="F209" s="1112"/>
      <c r="G209" s="1112"/>
      <c r="H209" s="1112"/>
      <c r="I209" s="1112"/>
      <c r="J209" s="1112"/>
    </row>
    <row r="210" spans="1:10">
      <c r="A210" s="1112"/>
      <c r="B210" s="1112"/>
      <c r="C210" s="1112"/>
      <c r="D210" s="1112"/>
      <c r="E210" s="1112"/>
      <c r="F210" s="1112"/>
      <c r="G210" s="1112"/>
      <c r="H210" s="1112"/>
      <c r="I210" s="1112"/>
      <c r="J210" s="1112"/>
    </row>
    <row r="211" spans="1:10">
      <c r="A211" s="1112"/>
      <c r="B211" s="1112"/>
      <c r="C211" s="1112"/>
      <c r="D211" s="1112"/>
      <c r="E211" s="1112"/>
      <c r="F211" s="1112"/>
      <c r="G211" s="1112"/>
      <c r="H211" s="1112"/>
      <c r="I211" s="1112"/>
      <c r="J211" s="1112"/>
    </row>
    <row r="212" spans="1:10">
      <c r="A212" s="1112"/>
      <c r="B212" s="1112"/>
      <c r="C212" s="1112"/>
      <c r="D212" s="1112"/>
      <c r="E212" s="1112"/>
      <c r="F212" s="1112"/>
      <c r="G212" s="1112"/>
      <c r="H212" s="1112"/>
      <c r="I212" s="1112"/>
      <c r="J212" s="1112"/>
    </row>
    <row r="213" spans="1:10">
      <c r="A213" s="1112"/>
      <c r="B213" s="1112"/>
      <c r="C213" s="1112"/>
      <c r="D213" s="1112"/>
      <c r="E213" s="1112"/>
      <c r="F213" s="1112"/>
      <c r="G213" s="1112"/>
      <c r="H213" s="1112"/>
      <c r="I213" s="1112"/>
      <c r="J213" s="1112"/>
    </row>
    <row r="214" spans="1:10">
      <c r="A214" s="1112"/>
      <c r="B214" s="1112"/>
      <c r="C214" s="1112"/>
      <c r="D214" s="1112"/>
      <c r="E214" s="1112"/>
      <c r="F214" s="1112"/>
      <c r="G214" s="1112"/>
      <c r="H214" s="1112"/>
      <c r="I214" s="1112"/>
      <c r="J214" s="1112"/>
    </row>
    <row r="215" spans="1:10">
      <c r="A215" s="1112"/>
      <c r="B215" s="1112"/>
      <c r="C215" s="1112"/>
      <c r="D215" s="1112"/>
      <c r="E215" s="1112"/>
      <c r="F215" s="1112"/>
      <c r="G215" s="1112"/>
      <c r="H215" s="1112"/>
      <c r="I215" s="1112"/>
      <c r="J215" s="1112"/>
    </row>
    <row r="216" spans="1:10">
      <c r="A216" s="1112"/>
      <c r="B216" s="1112"/>
      <c r="C216" s="1112"/>
      <c r="D216" s="1112"/>
      <c r="E216" s="1112"/>
      <c r="F216" s="1112"/>
      <c r="G216" s="1112"/>
      <c r="H216" s="1112"/>
      <c r="I216" s="1112"/>
      <c r="J216" s="1112"/>
    </row>
    <row r="217" spans="1:10">
      <c r="A217" s="1112"/>
      <c r="B217" s="1112"/>
      <c r="C217" s="1112"/>
      <c r="D217" s="1112"/>
      <c r="E217" s="1112"/>
      <c r="F217" s="1112"/>
      <c r="G217" s="1112"/>
      <c r="H217" s="1112"/>
      <c r="I217" s="1112"/>
      <c r="J217" s="1112"/>
    </row>
    <row r="218" spans="1:10">
      <c r="A218" s="1112"/>
      <c r="B218" s="1112"/>
      <c r="C218" s="1112"/>
      <c r="D218" s="1112"/>
      <c r="E218" s="1112"/>
      <c r="F218" s="1112"/>
      <c r="G218" s="1112"/>
      <c r="H218" s="1112"/>
      <c r="I218" s="1112"/>
      <c r="J218" s="1112"/>
    </row>
    <row r="219" spans="1:10">
      <c r="A219" s="1112"/>
      <c r="B219" s="1112"/>
      <c r="C219" s="1112"/>
      <c r="D219" s="1112"/>
      <c r="E219" s="1112"/>
      <c r="F219" s="1112"/>
      <c r="G219" s="1112"/>
      <c r="H219" s="1112"/>
      <c r="I219" s="1112"/>
      <c r="J219" s="1112"/>
    </row>
    <row r="220" spans="1:10">
      <c r="A220" s="1112"/>
      <c r="B220" s="1112"/>
      <c r="C220" s="1112"/>
      <c r="D220" s="1112"/>
      <c r="E220" s="1112"/>
      <c r="F220" s="1112"/>
      <c r="G220" s="1112"/>
      <c r="H220" s="1112"/>
      <c r="I220" s="1112"/>
      <c r="J220" s="1112"/>
    </row>
    <row r="221" spans="1:10">
      <c r="A221" s="1112"/>
      <c r="B221" s="1112"/>
      <c r="C221" s="1112"/>
      <c r="D221" s="1112"/>
      <c r="E221" s="1112"/>
      <c r="F221" s="1112"/>
      <c r="G221" s="1112"/>
      <c r="H221" s="1112"/>
      <c r="I221" s="1112"/>
      <c r="J221" s="1112"/>
    </row>
    <row r="222" spans="1:10">
      <c r="A222" s="1112"/>
      <c r="B222" s="1112"/>
      <c r="C222" s="1112"/>
      <c r="D222" s="1112"/>
      <c r="E222" s="1112"/>
      <c r="F222" s="1112"/>
      <c r="G222" s="1112"/>
      <c r="H222" s="1112"/>
      <c r="I222" s="1112"/>
      <c r="J222" s="1112"/>
    </row>
    <row r="223" spans="1:10">
      <c r="A223" s="1112"/>
      <c r="B223" s="1112"/>
      <c r="C223" s="1112"/>
      <c r="D223" s="1112"/>
      <c r="E223" s="1112"/>
      <c r="F223" s="1112"/>
      <c r="G223" s="1112"/>
      <c r="H223" s="1112"/>
      <c r="I223" s="1112"/>
      <c r="J223" s="1112"/>
    </row>
    <row r="224" spans="1:10">
      <c r="A224" s="1112"/>
      <c r="B224" s="1112"/>
      <c r="C224" s="1112"/>
      <c r="D224" s="1112"/>
      <c r="E224" s="1112"/>
      <c r="F224" s="1112"/>
      <c r="G224" s="1112"/>
      <c r="H224" s="1112"/>
      <c r="I224" s="1112"/>
      <c r="J224" s="1112"/>
    </row>
    <row r="225" spans="1:10">
      <c r="A225" s="1112"/>
      <c r="B225" s="1112"/>
      <c r="C225" s="1112"/>
      <c r="D225" s="1112"/>
      <c r="E225" s="1112"/>
      <c r="F225" s="1112"/>
      <c r="G225" s="1112"/>
      <c r="H225" s="1112"/>
      <c r="I225" s="1112"/>
      <c r="J225" s="1112"/>
    </row>
    <row r="226" spans="1:10">
      <c r="A226" s="1112"/>
      <c r="B226" s="1112"/>
      <c r="C226" s="1112"/>
      <c r="D226" s="1112"/>
      <c r="E226" s="1112"/>
      <c r="F226" s="1112"/>
      <c r="G226" s="1112"/>
      <c r="H226" s="1112"/>
      <c r="I226" s="1112"/>
      <c r="J226" s="1112"/>
    </row>
    <row r="227" spans="1:10">
      <c r="A227" s="1112"/>
      <c r="B227" s="1112"/>
      <c r="C227" s="1112"/>
      <c r="D227" s="1112"/>
      <c r="E227" s="1112"/>
      <c r="F227" s="1112"/>
      <c r="G227" s="1112"/>
      <c r="H227" s="1112"/>
      <c r="I227" s="1112"/>
      <c r="J227" s="1112"/>
    </row>
    <row r="228" spans="1:10">
      <c r="A228" s="1112"/>
      <c r="B228" s="1112"/>
      <c r="C228" s="1112"/>
      <c r="D228" s="1112"/>
      <c r="E228" s="1112"/>
      <c r="F228" s="1112"/>
      <c r="G228" s="1112"/>
      <c r="H228" s="1112"/>
      <c r="I228" s="1112"/>
      <c r="J228" s="1112"/>
    </row>
    <row r="229" spans="1:10">
      <c r="A229" s="1112"/>
      <c r="B229" s="1112"/>
      <c r="C229" s="1112"/>
      <c r="D229" s="1112"/>
      <c r="E229" s="1112"/>
      <c r="F229" s="1112"/>
      <c r="G229" s="1112"/>
      <c r="H229" s="1112"/>
      <c r="I229" s="1112"/>
      <c r="J229" s="1112"/>
    </row>
    <row r="230" spans="1:10">
      <c r="A230" s="1112"/>
      <c r="B230" s="1112"/>
      <c r="C230" s="1112"/>
      <c r="D230" s="1112"/>
      <c r="E230" s="1112"/>
      <c r="F230" s="1112"/>
      <c r="G230" s="1112"/>
      <c r="H230" s="1112"/>
      <c r="I230" s="1112"/>
      <c r="J230" s="1112"/>
    </row>
    <row r="231" spans="1:10">
      <c r="A231" s="1112"/>
      <c r="B231" s="1112"/>
      <c r="C231" s="1112"/>
      <c r="D231" s="1112"/>
      <c r="E231" s="1112"/>
      <c r="F231" s="1112"/>
      <c r="G231" s="1112"/>
      <c r="H231" s="1112"/>
      <c r="I231" s="1112"/>
      <c r="J231" s="1112"/>
    </row>
    <row r="232" spans="1:10">
      <c r="A232" s="1112"/>
      <c r="B232" s="1112"/>
      <c r="C232" s="1112"/>
      <c r="D232" s="1112"/>
      <c r="E232" s="1112"/>
      <c r="F232" s="1112"/>
      <c r="G232" s="1112"/>
      <c r="H232" s="1112"/>
      <c r="I232" s="1112"/>
      <c r="J232" s="1112"/>
    </row>
    <row r="233" spans="1:10">
      <c r="A233" s="1112"/>
      <c r="B233" s="1112"/>
      <c r="C233" s="1112"/>
      <c r="D233" s="1112"/>
      <c r="E233" s="1112"/>
      <c r="F233" s="1112"/>
      <c r="G233" s="1112"/>
      <c r="H233" s="1112"/>
      <c r="I233" s="1112"/>
      <c r="J233" s="1112"/>
    </row>
    <row r="234" spans="1:10">
      <c r="A234" s="1112"/>
      <c r="B234" s="1112"/>
      <c r="C234" s="1112"/>
      <c r="D234" s="1112"/>
      <c r="E234" s="1112"/>
      <c r="F234" s="1112"/>
      <c r="G234" s="1112"/>
      <c r="H234" s="1112"/>
      <c r="I234" s="1112"/>
      <c r="J234" s="1112"/>
    </row>
    <row r="235" spans="1:10">
      <c r="A235" s="1112"/>
      <c r="B235" s="1112"/>
      <c r="C235" s="1112"/>
      <c r="D235" s="1112"/>
      <c r="E235" s="1112"/>
      <c r="F235" s="1112"/>
      <c r="G235" s="1112"/>
      <c r="H235" s="1112"/>
      <c r="I235" s="1112"/>
      <c r="J235" s="1112"/>
    </row>
    <row r="236" spans="1:10">
      <c r="A236" s="1112"/>
      <c r="B236" s="1112"/>
      <c r="C236" s="1112"/>
      <c r="D236" s="1112"/>
      <c r="E236" s="1112"/>
      <c r="F236" s="1112"/>
      <c r="G236" s="1112"/>
      <c r="H236" s="1112"/>
      <c r="I236" s="1112"/>
      <c r="J236" s="1112"/>
    </row>
    <row r="237" spans="1:10">
      <c r="A237" s="1112"/>
      <c r="B237" s="1112"/>
      <c r="C237" s="1112"/>
      <c r="D237" s="1112"/>
      <c r="E237" s="1112"/>
      <c r="F237" s="1112"/>
      <c r="G237" s="1112"/>
      <c r="H237" s="1112"/>
      <c r="I237" s="1112"/>
      <c r="J237" s="1112"/>
    </row>
    <row r="238" spans="1:10">
      <c r="A238" s="1112"/>
      <c r="B238" s="1112"/>
      <c r="C238" s="1112"/>
      <c r="D238" s="1112"/>
      <c r="E238" s="1112"/>
      <c r="F238" s="1112"/>
      <c r="G238" s="1112"/>
      <c r="H238" s="1112"/>
      <c r="I238" s="1112"/>
      <c r="J238" s="1112"/>
    </row>
    <row r="239" spans="1:10">
      <c r="A239" s="1112"/>
      <c r="B239" s="1112"/>
      <c r="C239" s="1112"/>
      <c r="D239" s="1112"/>
      <c r="E239" s="1112"/>
      <c r="F239" s="1112"/>
      <c r="G239" s="1112"/>
      <c r="H239" s="1112"/>
      <c r="I239" s="1112"/>
      <c r="J239" s="1112"/>
    </row>
    <row r="240" spans="1:10">
      <c r="A240" s="1112"/>
      <c r="B240" s="1112"/>
      <c r="C240" s="1112"/>
      <c r="D240" s="1112"/>
      <c r="E240" s="1112"/>
      <c r="F240" s="1112"/>
      <c r="G240" s="1112"/>
      <c r="H240" s="1112"/>
      <c r="I240" s="1112"/>
      <c r="J240" s="1112"/>
    </row>
    <row r="241" spans="1:10">
      <c r="A241" s="1112"/>
      <c r="B241" s="1112"/>
      <c r="C241" s="1112"/>
      <c r="D241" s="1112"/>
      <c r="E241" s="1112"/>
      <c r="F241" s="1112"/>
      <c r="G241" s="1112"/>
      <c r="H241" s="1112"/>
      <c r="I241" s="1112"/>
      <c r="J241" s="1112"/>
    </row>
    <row r="242" spans="1:10">
      <c r="A242" s="1112"/>
      <c r="B242" s="1112"/>
      <c r="C242" s="1112"/>
      <c r="D242" s="1112"/>
      <c r="E242" s="1112"/>
      <c r="F242" s="1112"/>
      <c r="G242" s="1112"/>
      <c r="H242" s="1112"/>
      <c r="I242" s="1112"/>
      <c r="J242" s="1112"/>
    </row>
    <row r="243" spans="1:10">
      <c r="A243" s="1112"/>
      <c r="B243" s="1112"/>
      <c r="C243" s="1112"/>
      <c r="D243" s="1112"/>
      <c r="E243" s="1112"/>
      <c r="F243" s="1112"/>
      <c r="G243" s="1112"/>
      <c r="H243" s="1112"/>
      <c r="I243" s="1112"/>
      <c r="J243" s="1112"/>
    </row>
    <row r="244" spans="1:10">
      <c r="A244" s="1112"/>
      <c r="B244" s="1112"/>
      <c r="C244" s="1112"/>
      <c r="D244" s="1112"/>
      <c r="E244" s="1112"/>
      <c r="F244" s="1112"/>
      <c r="G244" s="1112"/>
      <c r="H244" s="1112"/>
      <c r="I244" s="1112"/>
      <c r="J244" s="1112"/>
    </row>
    <row r="245" spans="1:10">
      <c r="A245" s="1112"/>
      <c r="B245" s="1112"/>
      <c r="C245" s="1112"/>
      <c r="D245" s="1112"/>
      <c r="E245" s="1112"/>
      <c r="F245" s="1112"/>
      <c r="G245" s="1112"/>
      <c r="H245" s="1112"/>
      <c r="I245" s="1112"/>
      <c r="J245" s="1112"/>
    </row>
    <row r="246" spans="1:10">
      <c r="A246" s="1112"/>
      <c r="B246" s="1112"/>
      <c r="C246" s="1112"/>
      <c r="D246" s="1112"/>
      <c r="E246" s="1112"/>
      <c r="F246" s="1112"/>
      <c r="G246" s="1112"/>
      <c r="H246" s="1112"/>
      <c r="I246" s="1112"/>
      <c r="J246" s="1112"/>
    </row>
    <row r="247" spans="1:10">
      <c r="A247" s="1112"/>
      <c r="B247" s="1112"/>
      <c r="C247" s="1112"/>
      <c r="D247" s="1112"/>
      <c r="E247" s="1112"/>
      <c r="F247" s="1112"/>
      <c r="G247" s="1112"/>
      <c r="H247" s="1112"/>
      <c r="I247" s="1112"/>
      <c r="J247" s="1112"/>
    </row>
    <row r="248" spans="1:10">
      <c r="A248" s="1112"/>
      <c r="B248" s="1112"/>
      <c r="C248" s="1112"/>
      <c r="D248" s="1112"/>
      <c r="E248" s="1112"/>
      <c r="F248" s="1112"/>
      <c r="G248" s="1112"/>
      <c r="H248" s="1112"/>
      <c r="I248" s="1112"/>
      <c r="J248" s="1112"/>
    </row>
    <row r="249" spans="1:10">
      <c r="A249" s="1112"/>
      <c r="B249" s="1112"/>
      <c r="C249" s="1112"/>
      <c r="D249" s="1112"/>
      <c r="E249" s="1112"/>
      <c r="F249" s="1112"/>
      <c r="G249" s="1112"/>
      <c r="H249" s="1112"/>
      <c r="I249" s="1112"/>
      <c r="J249" s="1112"/>
    </row>
    <row r="250" spans="1:10">
      <c r="A250" s="1112"/>
      <c r="B250" s="1112"/>
      <c r="C250" s="1112"/>
      <c r="D250" s="1112"/>
      <c r="E250" s="1112"/>
      <c r="F250" s="1112"/>
      <c r="G250" s="1112"/>
      <c r="H250" s="1112"/>
      <c r="I250" s="1112"/>
      <c r="J250" s="1112"/>
    </row>
    <row r="251" spans="1:10">
      <c r="A251" s="1112"/>
      <c r="B251" s="1112"/>
      <c r="C251" s="1112"/>
      <c r="D251" s="1112"/>
      <c r="E251" s="1112"/>
      <c r="F251" s="1112"/>
      <c r="G251" s="1112"/>
      <c r="H251" s="1112"/>
      <c r="I251" s="1112"/>
      <c r="J251" s="1112"/>
    </row>
    <row r="252" spans="1:10">
      <c r="A252" s="1112"/>
      <c r="B252" s="1112"/>
      <c r="C252" s="1112"/>
      <c r="D252" s="1112"/>
      <c r="E252" s="1112"/>
      <c r="F252" s="1112"/>
      <c r="G252" s="1112"/>
      <c r="H252" s="1112"/>
      <c r="I252" s="1112"/>
      <c r="J252" s="1112"/>
    </row>
    <row r="253" spans="1:10">
      <c r="A253" s="1112"/>
      <c r="B253" s="1112"/>
      <c r="C253" s="1112"/>
      <c r="D253" s="1112"/>
      <c r="E253" s="1112"/>
      <c r="F253" s="1112"/>
      <c r="G253" s="1112"/>
      <c r="H253" s="1112"/>
      <c r="I253" s="1112"/>
      <c r="J253" s="1112"/>
    </row>
    <row r="254" spans="1:10">
      <c r="A254" s="1112"/>
      <c r="B254" s="1112"/>
      <c r="C254" s="1112"/>
      <c r="D254" s="1112"/>
      <c r="E254" s="1112"/>
      <c r="F254" s="1112"/>
      <c r="G254" s="1112"/>
      <c r="H254" s="1112"/>
      <c r="I254" s="1112"/>
      <c r="J254" s="1112"/>
    </row>
    <row r="255" spans="1:10">
      <c r="A255" s="1112"/>
      <c r="B255" s="1112"/>
      <c r="C255" s="1112"/>
      <c r="D255" s="1112"/>
      <c r="E255" s="1112"/>
      <c r="F255" s="1112"/>
      <c r="G255" s="1112"/>
      <c r="H255" s="1112"/>
      <c r="I255" s="1112"/>
      <c r="J255" s="1112"/>
    </row>
    <row r="256" spans="1:10">
      <c r="A256" s="1112"/>
      <c r="B256" s="1112"/>
      <c r="C256" s="1112"/>
      <c r="D256" s="1112"/>
      <c r="E256" s="1112"/>
      <c r="F256" s="1112"/>
      <c r="G256" s="1112"/>
      <c r="H256" s="1112"/>
      <c r="I256" s="1112"/>
      <c r="J256" s="1112"/>
    </row>
    <row r="257" spans="1:10">
      <c r="A257" s="1112"/>
      <c r="B257" s="1112"/>
      <c r="C257" s="1112"/>
      <c r="D257" s="1112"/>
      <c r="E257" s="1112"/>
      <c r="F257" s="1112"/>
      <c r="G257" s="1112"/>
      <c r="H257" s="1112"/>
      <c r="I257" s="1112"/>
      <c r="J257" s="1112"/>
    </row>
    <row r="258" spans="1:10">
      <c r="A258" s="1112"/>
      <c r="B258" s="1112"/>
      <c r="C258" s="1112"/>
      <c r="D258" s="1112"/>
      <c r="E258" s="1112"/>
      <c r="F258" s="1112"/>
      <c r="G258" s="1112"/>
      <c r="H258" s="1112"/>
      <c r="I258" s="1112"/>
      <c r="J258" s="1112"/>
    </row>
    <row r="259" spans="1:10">
      <c r="A259" s="1112"/>
      <c r="B259" s="1112"/>
      <c r="C259" s="1112"/>
      <c r="D259" s="1112"/>
      <c r="E259" s="1112"/>
      <c r="F259" s="1112"/>
      <c r="G259" s="1112"/>
      <c r="H259" s="1112"/>
      <c r="I259" s="1112"/>
      <c r="J259" s="1112"/>
    </row>
    <row r="260" spans="1:10">
      <c r="A260" s="1112"/>
      <c r="B260" s="1112"/>
      <c r="C260" s="1112"/>
      <c r="D260" s="1112"/>
      <c r="E260" s="1112"/>
      <c r="F260" s="1112"/>
      <c r="G260" s="1112"/>
      <c r="H260" s="1112"/>
      <c r="I260" s="1112"/>
      <c r="J260" s="1112"/>
    </row>
    <row r="261" spans="1:10">
      <c r="A261" s="1112"/>
      <c r="B261" s="1112"/>
      <c r="C261" s="1112"/>
      <c r="D261" s="1112"/>
      <c r="E261" s="1112"/>
      <c r="F261" s="1112"/>
      <c r="G261" s="1112"/>
      <c r="H261" s="1112"/>
      <c r="I261" s="1112"/>
      <c r="J261" s="1112"/>
    </row>
    <row r="262" spans="1:10">
      <c r="A262" s="1112"/>
      <c r="B262" s="1112"/>
      <c r="C262" s="1112"/>
      <c r="D262" s="1112"/>
      <c r="E262" s="1112"/>
      <c r="F262" s="1112"/>
      <c r="G262" s="1112"/>
      <c r="H262" s="1112"/>
      <c r="I262" s="1112"/>
      <c r="J262" s="1112"/>
    </row>
    <row r="263" spans="1:10">
      <c r="A263" s="1112"/>
      <c r="B263" s="1112"/>
      <c r="C263" s="1112"/>
      <c r="D263" s="1112"/>
      <c r="E263" s="1112"/>
      <c r="F263" s="1112"/>
      <c r="G263" s="1112"/>
      <c r="H263" s="1112"/>
      <c r="I263" s="1112"/>
      <c r="J263" s="1112"/>
    </row>
    <row r="264" spans="1:10">
      <c r="A264" s="1112"/>
      <c r="B264" s="1112"/>
      <c r="C264" s="1112"/>
      <c r="D264" s="1112"/>
      <c r="E264" s="1112"/>
      <c r="F264" s="1112"/>
      <c r="G264" s="1112"/>
      <c r="H264" s="1112"/>
      <c r="I264" s="1112"/>
      <c r="J264" s="1112"/>
    </row>
    <row r="265" spans="1:10">
      <c r="A265" s="1112"/>
      <c r="B265" s="1112"/>
      <c r="C265" s="1112"/>
      <c r="D265" s="1112"/>
      <c r="E265" s="1112"/>
      <c r="F265" s="1112"/>
      <c r="G265" s="1112"/>
      <c r="H265" s="1112"/>
      <c r="I265" s="1112"/>
      <c r="J265" s="1112"/>
    </row>
    <row r="266" spans="1:10">
      <c r="A266" s="1112"/>
      <c r="B266" s="1112"/>
      <c r="C266" s="1112"/>
      <c r="D266" s="1112"/>
      <c r="E266" s="1112"/>
      <c r="F266" s="1112"/>
      <c r="G266" s="1112"/>
      <c r="H266" s="1112"/>
      <c r="I266" s="1112"/>
      <c r="J266" s="1112"/>
    </row>
    <row r="267" spans="1:10">
      <c r="A267" s="1112"/>
      <c r="B267" s="1112"/>
      <c r="C267" s="1112"/>
      <c r="D267" s="1112"/>
      <c r="E267" s="1112"/>
      <c r="F267" s="1112"/>
      <c r="G267" s="1112"/>
      <c r="H267" s="1112"/>
      <c r="I267" s="1112"/>
      <c r="J267" s="1112"/>
    </row>
    <row r="268" spans="1:10">
      <c r="A268" s="1112"/>
      <c r="B268" s="1112"/>
      <c r="C268" s="1112"/>
      <c r="D268" s="1112"/>
      <c r="E268" s="1112"/>
      <c r="F268" s="1112"/>
      <c r="G268" s="1112"/>
      <c r="H268" s="1112"/>
      <c r="I268" s="1112"/>
      <c r="J268" s="1112"/>
    </row>
    <row r="269" spans="1:10">
      <c r="A269" s="1112"/>
      <c r="B269" s="1112"/>
      <c r="C269" s="1112"/>
      <c r="D269" s="1112"/>
      <c r="E269" s="1112"/>
      <c r="F269" s="1112"/>
      <c r="G269" s="1112"/>
      <c r="H269" s="1112"/>
      <c r="I269" s="1112"/>
      <c r="J269" s="1112"/>
    </row>
    <row r="270" spans="1:10">
      <c r="A270" s="1112"/>
      <c r="B270" s="1112"/>
      <c r="C270" s="1112"/>
      <c r="D270" s="1112"/>
      <c r="E270" s="1112"/>
      <c r="F270" s="1112"/>
      <c r="G270" s="1112"/>
      <c r="H270" s="1112"/>
      <c r="I270" s="1112"/>
      <c r="J270" s="1112"/>
    </row>
    <row r="271" spans="1:10">
      <c r="A271" s="1112"/>
      <c r="B271" s="1112"/>
      <c r="C271" s="1112"/>
      <c r="D271" s="1112"/>
      <c r="E271" s="1112"/>
      <c r="F271" s="1112"/>
      <c r="G271" s="1112"/>
      <c r="H271" s="1112"/>
      <c r="I271" s="1112"/>
      <c r="J271" s="1112"/>
    </row>
    <row r="272" spans="1:10">
      <c r="A272" s="1112"/>
      <c r="B272" s="1112"/>
      <c r="C272" s="1112"/>
      <c r="D272" s="1112"/>
      <c r="E272" s="1112"/>
      <c r="F272" s="1112"/>
      <c r="G272" s="1112"/>
      <c r="H272" s="1112"/>
      <c r="I272" s="1112"/>
      <c r="J272" s="1112"/>
    </row>
    <row r="273" spans="1:10">
      <c r="A273" s="1112"/>
      <c r="B273" s="1112"/>
      <c r="C273" s="1112"/>
      <c r="D273" s="1112"/>
      <c r="E273" s="1112"/>
      <c r="F273" s="1112"/>
      <c r="G273" s="1112"/>
      <c r="H273" s="1112"/>
      <c r="I273" s="1112"/>
      <c r="J273" s="1112"/>
    </row>
    <row r="274" spans="1:10">
      <c r="A274" s="1112"/>
      <c r="B274" s="1112"/>
      <c r="C274" s="1112"/>
      <c r="D274" s="1112"/>
      <c r="E274" s="1112"/>
      <c r="F274" s="1112"/>
      <c r="G274" s="1112"/>
      <c r="H274" s="1112"/>
      <c r="I274" s="1112"/>
      <c r="J274" s="1112"/>
    </row>
    <row r="275" spans="1:10">
      <c r="A275" s="1112"/>
      <c r="B275" s="1112"/>
      <c r="C275" s="1112"/>
      <c r="D275" s="1112"/>
      <c r="E275" s="1112"/>
      <c r="F275" s="1112"/>
      <c r="G275" s="1112"/>
      <c r="H275" s="1112"/>
      <c r="I275" s="1112"/>
      <c r="J275" s="1112"/>
    </row>
    <row r="276" spans="1:10">
      <c r="A276" s="1112"/>
      <c r="B276" s="1112"/>
      <c r="C276" s="1112"/>
      <c r="D276" s="1112"/>
      <c r="E276" s="1112"/>
      <c r="F276" s="1112"/>
      <c r="G276" s="1112"/>
      <c r="H276" s="1112"/>
      <c r="I276" s="1112"/>
      <c r="J276" s="1112"/>
    </row>
    <row r="277" spans="1:10">
      <c r="A277" s="1112"/>
      <c r="B277" s="1112"/>
      <c r="C277" s="1112"/>
      <c r="D277" s="1112"/>
      <c r="E277" s="1112"/>
      <c r="F277" s="1112"/>
      <c r="G277" s="1112"/>
      <c r="H277" s="1112"/>
      <c r="I277" s="1112"/>
      <c r="J277" s="1112"/>
    </row>
    <row r="278" spans="1:10">
      <c r="A278" s="1112"/>
      <c r="B278" s="1112"/>
      <c r="C278" s="1112"/>
      <c r="D278" s="1112"/>
      <c r="E278" s="1112"/>
      <c r="F278" s="1112"/>
      <c r="G278" s="1112"/>
      <c r="H278" s="1112"/>
      <c r="I278" s="1112"/>
      <c r="J278" s="1112"/>
    </row>
    <row r="279" spans="1:10">
      <c r="A279" s="1112"/>
      <c r="B279" s="1112"/>
      <c r="C279" s="1112"/>
      <c r="D279" s="1112"/>
      <c r="E279" s="1112"/>
      <c r="F279" s="1112"/>
      <c r="G279" s="1112"/>
      <c r="H279" s="1112"/>
      <c r="I279" s="1112"/>
      <c r="J279" s="1112"/>
    </row>
    <row r="280" spans="1:10">
      <c r="A280" s="1112"/>
      <c r="B280" s="1112"/>
      <c r="C280" s="1112"/>
      <c r="D280" s="1112"/>
      <c r="E280" s="1112"/>
      <c r="F280" s="1112"/>
      <c r="G280" s="1112"/>
      <c r="H280" s="1112"/>
      <c r="I280" s="1112"/>
      <c r="J280" s="1112"/>
    </row>
    <row r="281" spans="1:10">
      <c r="A281" s="1112"/>
      <c r="B281" s="1112"/>
      <c r="C281" s="1112"/>
      <c r="D281" s="1112"/>
      <c r="E281" s="1112"/>
      <c r="F281" s="1112"/>
      <c r="G281" s="1112"/>
      <c r="H281" s="1112"/>
      <c r="I281" s="1112"/>
      <c r="J281" s="1112"/>
    </row>
    <row r="282" spans="1:10">
      <c r="A282" s="1112"/>
      <c r="B282" s="1112"/>
      <c r="C282" s="1112"/>
      <c r="D282" s="1112"/>
      <c r="E282" s="1112"/>
      <c r="F282" s="1112"/>
      <c r="G282" s="1112"/>
      <c r="H282" s="1112"/>
      <c r="I282" s="1112"/>
      <c r="J282" s="1112"/>
    </row>
    <row r="283" spans="1:10">
      <c r="A283" s="1112"/>
      <c r="B283" s="1112"/>
      <c r="C283" s="1112"/>
      <c r="D283" s="1112"/>
      <c r="E283" s="1112"/>
      <c r="F283" s="1112"/>
      <c r="G283" s="1112"/>
      <c r="H283" s="1112"/>
      <c r="I283" s="1112"/>
      <c r="J283" s="1112"/>
    </row>
    <row r="284" spans="1:10">
      <c r="A284" s="1112"/>
      <c r="B284" s="1112"/>
      <c r="C284" s="1112"/>
      <c r="D284" s="1112"/>
      <c r="E284" s="1112"/>
      <c r="F284" s="1112"/>
      <c r="G284" s="1112"/>
      <c r="H284" s="1112"/>
      <c r="I284" s="1112"/>
      <c r="J284" s="1112"/>
    </row>
    <row r="285" spans="1:10">
      <c r="A285" s="1112"/>
      <c r="B285" s="1112"/>
      <c r="C285" s="1112"/>
      <c r="D285" s="1112"/>
      <c r="E285" s="1112"/>
      <c r="F285" s="1112"/>
      <c r="G285" s="1112"/>
      <c r="H285" s="1112"/>
      <c r="I285" s="1112"/>
      <c r="J285" s="1112"/>
    </row>
    <row r="286" spans="1:10">
      <c r="A286" s="1112"/>
      <c r="B286" s="1112"/>
      <c r="C286" s="1112"/>
      <c r="D286" s="1112"/>
      <c r="E286" s="1112"/>
      <c r="F286" s="1112"/>
      <c r="G286" s="1112"/>
      <c r="H286" s="1112"/>
      <c r="I286" s="1112"/>
      <c r="J286" s="1112"/>
    </row>
    <row r="287" spans="1:10">
      <c r="A287" s="1112"/>
      <c r="B287" s="1112"/>
      <c r="C287" s="1112"/>
      <c r="D287" s="1112"/>
      <c r="E287" s="1112"/>
      <c r="F287" s="1112"/>
      <c r="G287" s="1112"/>
      <c r="H287" s="1112"/>
      <c r="I287" s="1112"/>
      <c r="J287" s="1112"/>
    </row>
    <row r="288" spans="1:10">
      <c r="A288" s="1112"/>
      <c r="B288" s="1112"/>
      <c r="C288" s="1112"/>
      <c r="D288" s="1112"/>
      <c r="E288" s="1112"/>
      <c r="F288" s="1112"/>
      <c r="G288" s="1112"/>
      <c r="H288" s="1112"/>
      <c r="I288" s="1112"/>
      <c r="J288" s="1112"/>
    </row>
    <row r="289" spans="1:10">
      <c r="A289" s="1112"/>
      <c r="B289" s="1112"/>
      <c r="C289" s="1112"/>
      <c r="D289" s="1112"/>
      <c r="E289" s="1112"/>
      <c r="F289" s="1112"/>
      <c r="G289" s="1112"/>
      <c r="H289" s="1112"/>
      <c r="I289" s="1112"/>
      <c r="J289" s="1112"/>
    </row>
    <row r="290" spans="1:10">
      <c r="A290" s="1112"/>
      <c r="B290" s="1112"/>
      <c r="C290" s="1112"/>
      <c r="D290" s="1112"/>
      <c r="E290" s="1112"/>
      <c r="F290" s="1112"/>
      <c r="G290" s="1112"/>
      <c r="H290" s="1112"/>
      <c r="I290" s="1112"/>
      <c r="J290" s="1112"/>
    </row>
    <row r="291" spans="1:10">
      <c r="A291" s="1112"/>
      <c r="B291" s="1112"/>
      <c r="C291" s="1112"/>
      <c r="D291" s="1112"/>
      <c r="E291" s="1112"/>
      <c r="F291" s="1112"/>
      <c r="G291" s="1112"/>
      <c r="H291" s="1112"/>
      <c r="I291" s="1112"/>
      <c r="J291" s="1112"/>
    </row>
    <row r="292" spans="1:10">
      <c r="A292" s="1112"/>
      <c r="B292" s="1112"/>
      <c r="C292" s="1112"/>
      <c r="D292" s="1112"/>
      <c r="E292" s="1112"/>
      <c r="F292" s="1112"/>
      <c r="G292" s="1112"/>
      <c r="H292" s="1112"/>
      <c r="I292" s="1112"/>
      <c r="J292" s="1112"/>
    </row>
    <row r="293" spans="1:10">
      <c r="A293" s="1112"/>
      <c r="B293" s="1112"/>
      <c r="C293" s="1112"/>
      <c r="D293" s="1112"/>
      <c r="E293" s="1112"/>
      <c r="F293" s="1112"/>
      <c r="G293" s="1112"/>
      <c r="H293" s="1112"/>
      <c r="I293" s="1112"/>
      <c r="J293" s="1112"/>
    </row>
    <row r="294" spans="1:10">
      <c r="A294" s="1112"/>
      <c r="B294" s="1112"/>
      <c r="C294" s="1112"/>
      <c r="D294" s="1112"/>
      <c r="E294" s="1112"/>
      <c r="F294" s="1112"/>
      <c r="G294" s="1112"/>
      <c r="H294" s="1112"/>
      <c r="I294" s="1112"/>
      <c r="J294" s="1112"/>
    </row>
    <row r="295" spans="1:10">
      <c r="A295" s="1112"/>
      <c r="B295" s="1112"/>
      <c r="C295" s="1112"/>
      <c r="D295" s="1112"/>
      <c r="E295" s="1112"/>
      <c r="F295" s="1112"/>
      <c r="G295" s="1112"/>
      <c r="H295" s="1112"/>
      <c r="I295" s="1112"/>
      <c r="J295" s="1112"/>
    </row>
    <row r="296" spans="1:10">
      <c r="A296" s="1112"/>
      <c r="B296" s="1112"/>
      <c r="C296" s="1112"/>
      <c r="D296" s="1112"/>
      <c r="E296" s="1112"/>
      <c r="F296" s="1112"/>
      <c r="G296" s="1112"/>
      <c r="H296" s="1112"/>
      <c r="I296" s="1112"/>
      <c r="J296" s="1112"/>
    </row>
    <row r="297" spans="1:10">
      <c r="A297" s="1112"/>
      <c r="B297" s="1112"/>
      <c r="C297" s="1112"/>
      <c r="D297" s="1112"/>
      <c r="E297" s="1112"/>
      <c r="F297" s="1112"/>
      <c r="G297" s="1112"/>
      <c r="H297" s="1112"/>
      <c r="I297" s="1112"/>
      <c r="J297" s="1112"/>
    </row>
    <row r="298" spans="1:10">
      <c r="A298" s="1112"/>
      <c r="B298" s="1112"/>
      <c r="C298" s="1112"/>
      <c r="D298" s="1112"/>
      <c r="E298" s="1112"/>
      <c r="F298" s="1112"/>
      <c r="G298" s="1112"/>
      <c r="H298" s="1112"/>
      <c r="I298" s="1112"/>
      <c r="J298" s="1112"/>
    </row>
    <row r="299" spans="1:10">
      <c r="A299" s="1112"/>
      <c r="B299" s="1112"/>
      <c r="C299" s="1112"/>
      <c r="D299" s="1112"/>
      <c r="E299" s="1112"/>
      <c r="F299" s="1112"/>
      <c r="G299" s="1112"/>
      <c r="H299" s="1112"/>
      <c r="I299" s="1112"/>
      <c r="J299" s="1112"/>
    </row>
    <row r="300" spans="1:10">
      <c r="A300" s="1112"/>
      <c r="B300" s="1112"/>
      <c r="C300" s="1112"/>
      <c r="D300" s="1112"/>
      <c r="E300" s="1112"/>
      <c r="F300" s="1112"/>
      <c r="G300" s="1112"/>
      <c r="H300" s="1112"/>
      <c r="I300" s="1112"/>
      <c r="J300" s="1112"/>
    </row>
    <row r="301" spans="1:10">
      <c r="A301" s="1112"/>
      <c r="B301" s="1112"/>
      <c r="C301" s="1112"/>
      <c r="D301" s="1112"/>
      <c r="E301" s="1112"/>
      <c r="F301" s="1112"/>
      <c r="G301" s="1112"/>
      <c r="H301" s="1112"/>
      <c r="I301" s="1112"/>
      <c r="J301" s="1112"/>
    </row>
    <row r="302" spans="1:10">
      <c r="A302" s="1112"/>
      <c r="B302" s="1112"/>
      <c r="C302" s="1112"/>
      <c r="D302" s="1112"/>
      <c r="E302" s="1112"/>
      <c r="F302" s="1112"/>
      <c r="G302" s="1112"/>
      <c r="H302" s="1112"/>
      <c r="I302" s="1112"/>
      <c r="J302" s="1112"/>
    </row>
    <row r="303" spans="1:10">
      <c r="A303" s="1112"/>
      <c r="B303" s="1112"/>
      <c r="C303" s="1112"/>
      <c r="D303" s="1112"/>
      <c r="E303" s="1112"/>
      <c r="F303" s="1112"/>
      <c r="G303" s="1112"/>
      <c r="H303" s="1112"/>
      <c r="I303" s="1112"/>
      <c r="J303" s="1112"/>
    </row>
    <row r="304" spans="1:10">
      <c r="A304" s="1112"/>
      <c r="B304" s="1112"/>
      <c r="C304" s="1112"/>
      <c r="D304" s="1112"/>
      <c r="E304" s="1112"/>
      <c r="F304" s="1112"/>
      <c r="G304" s="1112"/>
      <c r="H304" s="1112"/>
      <c r="I304" s="1112"/>
      <c r="J304" s="1112"/>
    </row>
    <row r="305" spans="1:10">
      <c r="A305" s="1112"/>
      <c r="B305" s="1112"/>
      <c r="C305" s="1112"/>
      <c r="D305" s="1112"/>
      <c r="E305" s="1112"/>
      <c r="F305" s="1112"/>
      <c r="G305" s="1112"/>
      <c r="H305" s="1112"/>
      <c r="I305" s="1112"/>
      <c r="J305" s="1112"/>
    </row>
    <row r="306" spans="1:10">
      <c r="A306" s="1112"/>
      <c r="B306" s="1112"/>
      <c r="C306" s="1112"/>
      <c r="D306" s="1112"/>
      <c r="E306" s="1112"/>
      <c r="F306" s="1112"/>
      <c r="G306" s="1112"/>
      <c r="H306" s="1112"/>
      <c r="I306" s="1112"/>
      <c r="J306" s="1112"/>
    </row>
    <row r="307" spans="1:10">
      <c r="A307" s="1112"/>
      <c r="B307" s="1112"/>
      <c r="C307" s="1112"/>
      <c r="D307" s="1112"/>
      <c r="E307" s="1112"/>
      <c r="F307" s="1112"/>
      <c r="G307" s="1112"/>
      <c r="H307" s="1112"/>
      <c r="I307" s="1112"/>
      <c r="J307" s="1112"/>
    </row>
    <row r="308" spans="1:10">
      <c r="A308" s="1112"/>
      <c r="B308" s="1112"/>
      <c r="C308" s="1112"/>
      <c r="D308" s="1112"/>
      <c r="E308" s="1112"/>
      <c r="F308" s="1112"/>
      <c r="G308" s="1112"/>
      <c r="H308" s="1112"/>
      <c r="I308" s="1112"/>
      <c r="J308" s="1112"/>
    </row>
    <row r="309" spans="1:10">
      <c r="A309" s="1112"/>
      <c r="B309" s="1112"/>
      <c r="C309" s="1112"/>
      <c r="D309" s="1112"/>
      <c r="E309" s="1112"/>
      <c r="F309" s="1112"/>
      <c r="G309" s="1112"/>
      <c r="H309" s="1112"/>
      <c r="I309" s="1112"/>
      <c r="J309" s="1112"/>
    </row>
    <row r="310" spans="1:10">
      <c r="A310" s="1112"/>
      <c r="B310" s="1112"/>
      <c r="C310" s="1112"/>
      <c r="D310" s="1112"/>
      <c r="E310" s="1112"/>
      <c r="F310" s="1112"/>
      <c r="G310" s="1112"/>
      <c r="H310" s="1112"/>
      <c r="I310" s="1112"/>
      <c r="J310" s="1112"/>
    </row>
    <row r="311" spans="1:10">
      <c r="A311" s="1112"/>
      <c r="B311" s="1112"/>
      <c r="C311" s="1112"/>
      <c r="D311" s="1112"/>
      <c r="E311" s="1112"/>
      <c r="F311" s="1112"/>
      <c r="G311" s="1112"/>
      <c r="H311" s="1112"/>
      <c r="I311" s="1112"/>
      <c r="J311" s="1112"/>
    </row>
    <row r="312" spans="1:10">
      <c r="A312" s="1112"/>
      <c r="B312" s="1112"/>
      <c r="C312" s="1112"/>
      <c r="D312" s="1112"/>
      <c r="E312" s="1112"/>
      <c r="F312" s="1112"/>
      <c r="G312" s="1112"/>
      <c r="H312" s="1112"/>
      <c r="I312" s="1112"/>
      <c r="J312" s="1112"/>
    </row>
    <row r="313" spans="1:10">
      <c r="A313" s="1112"/>
      <c r="B313" s="1112"/>
      <c r="C313" s="1112"/>
      <c r="D313" s="1112"/>
      <c r="E313" s="1112"/>
      <c r="F313" s="1112"/>
      <c r="G313" s="1112"/>
      <c r="H313" s="1112"/>
      <c r="I313" s="1112"/>
      <c r="J313" s="1112"/>
    </row>
    <row r="314" spans="1:10">
      <c r="A314" s="1112"/>
      <c r="B314" s="1112"/>
      <c r="C314" s="1112"/>
      <c r="D314" s="1112"/>
      <c r="E314" s="1112"/>
      <c r="F314" s="1112"/>
      <c r="G314" s="1112"/>
      <c r="H314" s="1112"/>
      <c r="I314" s="1112"/>
      <c r="J314" s="1112"/>
    </row>
    <row r="315" spans="1:10">
      <c r="A315" s="1112"/>
      <c r="B315" s="1112"/>
      <c r="C315" s="1112"/>
      <c r="D315" s="1112"/>
      <c r="E315" s="1112"/>
      <c r="F315" s="1112"/>
      <c r="G315" s="1112"/>
      <c r="H315" s="1112"/>
      <c r="I315" s="1112"/>
      <c r="J315" s="1112"/>
    </row>
    <row r="316" spans="1:10">
      <c r="A316" s="1112"/>
      <c r="B316" s="1112"/>
      <c r="C316" s="1112"/>
      <c r="D316" s="1112"/>
      <c r="E316" s="1112"/>
      <c r="F316" s="1112"/>
      <c r="G316" s="1112"/>
      <c r="H316" s="1112"/>
      <c r="I316" s="1112"/>
      <c r="J316" s="1112"/>
    </row>
    <row r="317" spans="1:10">
      <c r="A317" s="1112"/>
      <c r="B317" s="1112"/>
      <c r="C317" s="1112"/>
      <c r="D317" s="1112"/>
      <c r="E317" s="1112"/>
      <c r="F317" s="1112"/>
      <c r="G317" s="1112"/>
      <c r="H317" s="1112"/>
      <c r="I317" s="1112"/>
      <c r="J317" s="1112"/>
    </row>
    <row r="318" spans="1:10">
      <c r="A318" s="1112"/>
      <c r="B318" s="1112"/>
      <c r="C318" s="1112"/>
      <c r="D318" s="1112"/>
      <c r="E318" s="1112"/>
      <c r="F318" s="1112"/>
      <c r="G318" s="1112"/>
      <c r="H318" s="1112"/>
      <c r="I318" s="1112"/>
      <c r="J318" s="1112"/>
    </row>
    <row r="319" spans="1:10">
      <c r="A319" s="1112"/>
      <c r="B319" s="1112"/>
      <c r="C319" s="1112"/>
      <c r="D319" s="1112"/>
      <c r="E319" s="1112"/>
      <c r="F319" s="1112"/>
      <c r="G319" s="1112"/>
      <c r="H319" s="1112"/>
      <c r="I319" s="1112"/>
      <c r="J319" s="1112"/>
    </row>
    <row r="320" spans="1:10">
      <c r="A320" s="1112"/>
      <c r="B320" s="1112"/>
      <c r="C320" s="1112"/>
      <c r="D320" s="1112"/>
      <c r="E320" s="1112"/>
      <c r="F320" s="1112"/>
      <c r="G320" s="1112"/>
      <c r="H320" s="1112"/>
      <c r="I320" s="1112"/>
      <c r="J320" s="1112"/>
    </row>
    <row r="321" spans="1:10">
      <c r="A321" s="1112"/>
      <c r="B321" s="1112"/>
      <c r="C321" s="1112"/>
      <c r="D321" s="1112"/>
      <c r="E321" s="1112"/>
      <c r="F321" s="1112"/>
      <c r="G321" s="1112"/>
      <c r="H321" s="1112"/>
      <c r="I321" s="1112"/>
      <c r="J321" s="1112"/>
    </row>
    <row r="322" spans="1:10">
      <c r="A322" s="1112"/>
      <c r="B322" s="1112"/>
      <c r="C322" s="1112"/>
      <c r="D322" s="1112"/>
      <c r="E322" s="1112"/>
      <c r="F322" s="1112"/>
      <c r="G322" s="1112"/>
      <c r="H322" s="1112"/>
      <c r="I322" s="1112"/>
      <c r="J322" s="1112"/>
    </row>
    <row r="323" spans="1:10">
      <c r="A323" s="1112"/>
      <c r="B323" s="1112"/>
      <c r="C323" s="1112"/>
      <c r="D323" s="1112"/>
      <c r="E323" s="1112"/>
      <c r="F323" s="1112"/>
      <c r="G323" s="1112"/>
      <c r="H323" s="1112"/>
      <c r="I323" s="1112"/>
      <c r="J323" s="1112"/>
    </row>
    <row r="324" spans="1:10">
      <c r="A324" s="1112"/>
      <c r="B324" s="1112"/>
      <c r="C324" s="1112"/>
      <c r="D324" s="1112"/>
      <c r="E324" s="1112"/>
      <c r="F324" s="1112"/>
      <c r="G324" s="1112"/>
      <c r="H324" s="1112"/>
      <c r="I324" s="1112"/>
      <c r="J324" s="1112"/>
    </row>
    <row r="325" spans="1:10">
      <c r="A325" s="1112"/>
      <c r="B325" s="1112"/>
      <c r="C325" s="1112"/>
      <c r="D325" s="1112"/>
      <c r="E325" s="1112"/>
      <c r="F325" s="1112"/>
      <c r="G325" s="1112"/>
      <c r="H325" s="1112"/>
      <c r="I325" s="1112"/>
      <c r="J325" s="1112"/>
    </row>
    <row r="326" spans="1:10">
      <c r="A326" s="1112"/>
      <c r="B326" s="1112"/>
      <c r="C326" s="1112"/>
      <c r="D326" s="1112"/>
      <c r="E326" s="1112"/>
      <c r="F326" s="1112"/>
      <c r="G326" s="1112"/>
      <c r="H326" s="1112"/>
      <c r="I326" s="1112"/>
      <c r="J326" s="1112"/>
    </row>
    <row r="327" spans="1:10">
      <c r="A327" s="1112"/>
      <c r="B327" s="1112"/>
      <c r="C327" s="1112"/>
      <c r="D327" s="1112"/>
      <c r="E327" s="1112"/>
      <c r="F327" s="1112"/>
      <c r="G327" s="1112"/>
      <c r="H327" s="1112"/>
      <c r="I327" s="1112"/>
      <c r="J327" s="1112"/>
    </row>
    <row r="328" spans="1:10">
      <c r="A328" s="1112"/>
      <c r="B328" s="1112"/>
      <c r="C328" s="1112"/>
      <c r="D328" s="1112"/>
      <c r="E328" s="1112"/>
      <c r="F328" s="1112"/>
      <c r="G328" s="1112"/>
      <c r="H328" s="1112"/>
      <c r="I328" s="1112"/>
      <c r="J328" s="1112"/>
    </row>
    <row r="329" spans="1:10">
      <c r="A329" s="1112"/>
      <c r="B329" s="1112"/>
      <c r="C329" s="1112"/>
      <c r="D329" s="1112"/>
      <c r="E329" s="1112"/>
      <c r="F329" s="1112"/>
      <c r="G329" s="1112"/>
      <c r="H329" s="1112"/>
      <c r="I329" s="1112"/>
      <c r="J329" s="1112"/>
    </row>
    <row r="330" spans="1:10">
      <c r="A330" s="1112"/>
      <c r="B330" s="1112"/>
      <c r="C330" s="1112"/>
      <c r="D330" s="1112"/>
      <c r="E330" s="1112"/>
      <c r="F330" s="1112"/>
      <c r="G330" s="1112"/>
      <c r="H330" s="1112"/>
      <c r="I330" s="1112"/>
      <c r="J330" s="1112"/>
    </row>
    <row r="331" spans="1:10">
      <c r="A331" s="1112"/>
      <c r="B331" s="1112"/>
      <c r="C331" s="1112"/>
      <c r="D331" s="1112"/>
      <c r="E331" s="1112"/>
      <c r="F331" s="1112"/>
      <c r="G331" s="1112"/>
      <c r="H331" s="1112"/>
      <c r="I331" s="1112"/>
      <c r="J331" s="1112"/>
    </row>
    <row r="332" spans="1:10">
      <c r="A332" s="1112"/>
      <c r="B332" s="1112"/>
      <c r="C332" s="1112"/>
      <c r="D332" s="1112"/>
      <c r="E332" s="1112"/>
      <c r="F332" s="1112"/>
      <c r="G332" s="1112"/>
      <c r="H332" s="1112"/>
      <c r="I332" s="1112"/>
      <c r="J332" s="1112"/>
    </row>
    <row r="333" spans="1:10">
      <c r="A333" s="1112"/>
      <c r="B333" s="1112"/>
      <c r="C333" s="1112"/>
      <c r="D333" s="1112"/>
      <c r="E333" s="1112"/>
      <c r="F333" s="1112"/>
      <c r="G333" s="1112"/>
      <c r="H333" s="1112"/>
      <c r="I333" s="1112"/>
      <c r="J333" s="1112"/>
    </row>
    <row r="334" spans="1:10">
      <c r="A334" s="1112"/>
      <c r="B334" s="1112"/>
      <c r="C334" s="1112"/>
      <c r="D334" s="1112"/>
      <c r="E334" s="1112"/>
      <c r="F334" s="1112"/>
      <c r="G334" s="1112"/>
      <c r="H334" s="1112"/>
      <c r="I334" s="1112"/>
      <c r="J334" s="1112"/>
    </row>
    <row r="335" spans="1:10">
      <c r="A335" s="1112"/>
      <c r="B335" s="1112"/>
      <c r="C335" s="1112"/>
      <c r="D335" s="1112"/>
      <c r="E335" s="1112"/>
      <c r="F335" s="1112"/>
      <c r="G335" s="1112"/>
      <c r="H335" s="1112"/>
      <c r="I335" s="1112"/>
      <c r="J335" s="1112"/>
    </row>
    <row r="336" spans="1:10">
      <c r="A336" s="1112"/>
      <c r="B336" s="1112"/>
      <c r="C336" s="1112"/>
      <c r="D336" s="1112"/>
      <c r="E336" s="1112"/>
      <c r="F336" s="1112"/>
      <c r="G336" s="1112"/>
      <c r="H336" s="1112"/>
      <c r="I336" s="1112"/>
      <c r="J336" s="1112"/>
    </row>
    <row r="337" spans="1:10">
      <c r="A337" s="1112"/>
      <c r="B337" s="1112"/>
      <c r="C337" s="1112"/>
      <c r="D337" s="1112"/>
      <c r="E337" s="1112"/>
      <c r="F337" s="1112"/>
      <c r="G337" s="1112"/>
      <c r="H337" s="1112"/>
      <c r="I337" s="1112"/>
      <c r="J337" s="1112"/>
    </row>
    <row r="338" spans="1:10">
      <c r="A338" s="1112"/>
      <c r="B338" s="1112"/>
      <c r="C338" s="1112"/>
      <c r="D338" s="1112"/>
      <c r="E338" s="1112"/>
      <c r="F338" s="1112"/>
      <c r="G338" s="1112"/>
      <c r="H338" s="1112"/>
      <c r="I338" s="1112"/>
      <c r="J338" s="1112"/>
    </row>
    <row r="339" spans="1:10">
      <c r="A339" s="1112"/>
      <c r="B339" s="1112"/>
      <c r="C339" s="1112"/>
      <c r="D339" s="1112"/>
      <c r="E339" s="1112"/>
      <c r="F339" s="1112"/>
      <c r="G339" s="1112"/>
      <c r="H339" s="1112"/>
      <c r="I339" s="1112"/>
      <c r="J339" s="1112"/>
    </row>
    <row r="340" spans="1:10">
      <c r="A340" s="1112"/>
      <c r="B340" s="1112"/>
      <c r="C340" s="1112"/>
      <c r="D340" s="1112"/>
      <c r="E340" s="1112"/>
      <c r="F340" s="1112"/>
      <c r="G340" s="1112"/>
      <c r="H340" s="1112"/>
      <c r="I340" s="1112"/>
      <c r="J340" s="1112"/>
    </row>
    <row r="341" spans="1:10">
      <c r="A341" s="1112"/>
      <c r="B341" s="1112"/>
      <c r="C341" s="1112"/>
      <c r="D341" s="1112"/>
      <c r="E341" s="1112"/>
      <c r="F341" s="1112"/>
      <c r="G341" s="1112"/>
      <c r="H341" s="1112"/>
      <c r="I341" s="1112"/>
      <c r="J341" s="1112"/>
    </row>
    <row r="342" spans="1:10">
      <c r="A342" s="1112"/>
      <c r="B342" s="1112"/>
      <c r="C342" s="1112"/>
      <c r="D342" s="1112"/>
      <c r="E342" s="1112"/>
      <c r="F342" s="1112"/>
      <c r="G342" s="1112"/>
      <c r="H342" s="1112"/>
      <c r="I342" s="1112"/>
      <c r="J342" s="1112"/>
    </row>
    <row r="343" spans="1:10">
      <c r="A343" s="1112"/>
      <c r="B343" s="1112"/>
      <c r="C343" s="1112"/>
      <c r="D343" s="1112"/>
      <c r="E343" s="1112"/>
      <c r="F343" s="1112"/>
      <c r="G343" s="1112"/>
      <c r="H343" s="1112"/>
      <c r="I343" s="1112"/>
      <c r="J343" s="1112"/>
    </row>
    <row r="344" spans="1:10">
      <c r="A344" s="1112"/>
      <c r="B344" s="1112"/>
      <c r="C344" s="1112"/>
      <c r="D344" s="1112"/>
      <c r="E344" s="1112"/>
      <c r="F344" s="1112"/>
      <c r="G344" s="1112"/>
      <c r="H344" s="1112"/>
      <c r="I344" s="1112"/>
      <c r="J344" s="1112"/>
    </row>
    <row r="345" spans="1:10">
      <c r="A345" s="1112"/>
      <c r="B345" s="1112"/>
      <c r="C345" s="1112"/>
      <c r="D345" s="1112"/>
      <c r="E345" s="1112"/>
      <c r="F345" s="1112"/>
      <c r="G345" s="1112"/>
      <c r="H345" s="1112"/>
      <c r="I345" s="1112"/>
      <c r="J345" s="1112"/>
    </row>
    <row r="346" spans="1:10">
      <c r="A346" s="1112"/>
      <c r="B346" s="1112"/>
      <c r="C346" s="1112"/>
      <c r="D346" s="1112"/>
      <c r="E346" s="1112"/>
      <c r="F346" s="1112"/>
      <c r="G346" s="1112"/>
      <c r="H346" s="1112"/>
      <c r="I346" s="1112"/>
      <c r="J346" s="1112"/>
    </row>
    <row r="347" spans="1:10">
      <c r="A347" s="1112"/>
      <c r="B347" s="1112"/>
      <c r="C347" s="1112"/>
      <c r="D347" s="1112"/>
      <c r="E347" s="1112"/>
      <c r="F347" s="1112"/>
      <c r="G347" s="1112"/>
      <c r="H347" s="1112"/>
      <c r="I347" s="1112"/>
      <c r="J347" s="1112"/>
    </row>
    <row r="348" spans="1:10">
      <c r="A348" s="1112"/>
      <c r="B348" s="1112"/>
      <c r="C348" s="1112"/>
      <c r="D348" s="1112"/>
      <c r="E348" s="1112"/>
      <c r="F348" s="1112"/>
      <c r="G348" s="1112"/>
      <c r="H348" s="1112"/>
      <c r="I348" s="1112"/>
      <c r="J348" s="1112"/>
    </row>
    <row r="349" spans="1:10">
      <c r="A349" s="1112"/>
      <c r="B349" s="1112"/>
      <c r="C349" s="1112"/>
      <c r="D349" s="1112"/>
      <c r="E349" s="1112"/>
      <c r="F349" s="1112"/>
      <c r="G349" s="1112"/>
      <c r="H349" s="1112"/>
      <c r="I349" s="1112"/>
      <c r="J349" s="1112"/>
    </row>
    <row r="350" spans="1:10">
      <c r="A350" s="1112"/>
      <c r="B350" s="1112"/>
      <c r="C350" s="1112"/>
      <c r="D350" s="1112"/>
      <c r="E350" s="1112"/>
      <c r="F350" s="1112"/>
      <c r="G350" s="1112"/>
      <c r="H350" s="1112"/>
      <c r="I350" s="1112"/>
      <c r="J350" s="1112"/>
    </row>
    <row r="351" spans="1:10">
      <c r="A351" s="1112"/>
      <c r="B351" s="1112"/>
      <c r="C351" s="1112"/>
      <c r="D351" s="1112"/>
      <c r="E351" s="1112"/>
      <c r="F351" s="1112"/>
      <c r="G351" s="1112"/>
      <c r="H351" s="1112"/>
      <c r="I351" s="1112"/>
      <c r="J351" s="1112"/>
    </row>
    <row r="352" spans="1:10">
      <c r="A352" s="1112"/>
      <c r="B352" s="1112"/>
      <c r="C352" s="1112"/>
      <c r="D352" s="1112"/>
      <c r="E352" s="1112"/>
      <c r="F352" s="1112"/>
      <c r="G352" s="1112"/>
      <c r="H352" s="1112"/>
      <c r="I352" s="1112"/>
      <c r="J352" s="1112"/>
    </row>
    <row r="353" spans="1:10">
      <c r="A353" s="1112"/>
      <c r="B353" s="1112"/>
      <c r="C353" s="1112"/>
      <c r="D353" s="1112"/>
      <c r="E353" s="1112"/>
      <c r="F353" s="1112"/>
      <c r="G353" s="1112"/>
      <c r="H353" s="1112"/>
      <c r="I353" s="1112"/>
      <c r="J353" s="1112"/>
    </row>
    <row r="354" spans="1:10">
      <c r="A354" s="1112"/>
      <c r="B354" s="1112"/>
      <c r="C354" s="1112"/>
      <c r="D354" s="1112"/>
      <c r="E354" s="1112"/>
      <c r="F354" s="1112"/>
      <c r="G354" s="1112"/>
      <c r="H354" s="1112"/>
      <c r="I354" s="1112"/>
      <c r="J354" s="1112"/>
    </row>
    <row r="355" spans="1:10">
      <c r="A355" s="1112"/>
      <c r="B355" s="1112"/>
      <c r="C355" s="1112"/>
      <c r="D355" s="1112"/>
      <c r="E355" s="1112"/>
      <c r="F355" s="1112"/>
      <c r="G355" s="1112"/>
      <c r="H355" s="1112"/>
      <c r="I355" s="1112"/>
      <c r="J355" s="1112"/>
    </row>
    <row r="356" spans="1:10">
      <c r="A356" s="1112"/>
      <c r="B356" s="1112"/>
      <c r="C356" s="1112"/>
      <c r="D356" s="1112"/>
      <c r="E356" s="1112"/>
      <c r="F356" s="1112"/>
      <c r="G356" s="1112"/>
      <c r="H356" s="1112"/>
      <c r="I356" s="1112"/>
      <c r="J356" s="1112"/>
    </row>
    <row r="357" spans="1:10">
      <c r="A357" s="1112"/>
      <c r="B357" s="1112"/>
      <c r="C357" s="1112"/>
      <c r="D357" s="1112"/>
      <c r="E357" s="1112"/>
      <c r="F357" s="1112"/>
      <c r="G357" s="1112"/>
      <c r="H357" s="1112"/>
      <c r="I357" s="1112"/>
      <c r="J357" s="1112"/>
    </row>
    <row r="358" spans="1:10">
      <c r="A358" s="1112"/>
      <c r="B358" s="1112"/>
      <c r="C358" s="1112"/>
      <c r="D358" s="1112"/>
      <c r="E358" s="1112"/>
      <c r="F358" s="1112"/>
      <c r="G358" s="1112"/>
      <c r="H358" s="1112"/>
      <c r="I358" s="1112"/>
      <c r="J358" s="1112"/>
    </row>
    <row r="359" spans="1:10">
      <c r="A359" s="1112"/>
      <c r="B359" s="1112"/>
      <c r="C359" s="1112"/>
      <c r="D359" s="1112"/>
      <c r="E359" s="1112"/>
      <c r="F359" s="1112"/>
      <c r="G359" s="1112"/>
      <c r="H359" s="1112"/>
      <c r="I359" s="1112"/>
      <c r="J359" s="1112"/>
    </row>
    <row r="360" spans="1:10">
      <c r="A360" s="1112"/>
      <c r="B360" s="1112"/>
      <c r="C360" s="1112"/>
      <c r="D360" s="1112"/>
      <c r="E360" s="1112"/>
      <c r="F360" s="1112"/>
      <c r="G360" s="1112"/>
      <c r="H360" s="1112"/>
      <c r="I360" s="1112"/>
      <c r="J360" s="1112"/>
    </row>
    <row r="361" spans="1:10">
      <c r="A361" s="1112"/>
      <c r="B361" s="1112"/>
      <c r="C361" s="1112"/>
      <c r="D361" s="1112"/>
      <c r="E361" s="1112"/>
      <c r="F361" s="1112"/>
      <c r="G361" s="1112"/>
      <c r="H361" s="1112"/>
      <c r="I361" s="1112"/>
      <c r="J361" s="1112"/>
    </row>
    <row r="362" spans="1:10">
      <c r="A362" s="1112"/>
      <c r="B362" s="1112"/>
      <c r="C362" s="1112"/>
      <c r="D362" s="1112"/>
      <c r="E362" s="1112"/>
      <c r="F362" s="1112"/>
      <c r="G362" s="1112"/>
      <c r="H362" s="1112"/>
      <c r="I362" s="1112"/>
      <c r="J362" s="1112"/>
    </row>
    <row r="363" spans="1:10">
      <c r="A363" s="1112"/>
      <c r="B363" s="1112"/>
      <c r="C363" s="1112"/>
      <c r="D363" s="1112"/>
      <c r="E363" s="1112"/>
      <c r="F363" s="1112"/>
      <c r="G363" s="1112"/>
      <c r="H363" s="1112"/>
      <c r="I363" s="1112"/>
      <c r="J363" s="1112"/>
    </row>
    <row r="364" spans="1:10">
      <c r="A364" s="1112"/>
      <c r="B364" s="1112"/>
      <c r="C364" s="1112"/>
      <c r="D364" s="1112"/>
      <c r="E364" s="1112"/>
      <c r="F364" s="1112"/>
      <c r="G364" s="1112"/>
      <c r="H364" s="1112"/>
      <c r="I364" s="1112"/>
      <c r="J364" s="1112"/>
    </row>
    <row r="365" spans="1:10">
      <c r="A365" s="1112"/>
      <c r="B365" s="1112"/>
      <c r="C365" s="1112"/>
      <c r="D365" s="1112"/>
      <c r="E365" s="1112"/>
      <c r="F365" s="1112"/>
      <c r="G365" s="1112"/>
      <c r="H365" s="1112"/>
      <c r="I365" s="1112"/>
      <c r="J365" s="1112"/>
    </row>
    <row r="366" spans="1:10">
      <c r="A366" s="1112"/>
      <c r="B366" s="1112"/>
      <c r="C366" s="1112"/>
      <c r="D366" s="1112"/>
      <c r="E366" s="1112"/>
      <c r="F366" s="1112"/>
      <c r="G366" s="1112"/>
      <c r="H366" s="1112"/>
      <c r="I366" s="1112"/>
      <c r="J366" s="1112"/>
    </row>
    <row r="367" spans="1:10">
      <c r="A367" s="1112"/>
      <c r="B367" s="1112"/>
      <c r="C367" s="1112"/>
      <c r="D367" s="1112"/>
      <c r="E367" s="1112"/>
      <c r="F367" s="1112"/>
      <c r="G367" s="1112"/>
      <c r="H367" s="1112"/>
      <c r="I367" s="1112"/>
      <c r="J367" s="1112"/>
    </row>
    <row r="368" spans="1:10">
      <c r="A368" s="1112"/>
      <c r="B368" s="1112"/>
      <c r="C368" s="1112"/>
      <c r="D368" s="1112"/>
      <c r="E368" s="1112"/>
      <c r="F368" s="1112"/>
      <c r="G368" s="1112"/>
      <c r="H368" s="1112"/>
      <c r="I368" s="1112"/>
      <c r="J368" s="1112"/>
    </row>
    <row r="369" spans="1:10">
      <c r="A369" s="1112"/>
      <c r="B369" s="1112"/>
      <c r="C369" s="1112"/>
      <c r="D369" s="1112"/>
      <c r="E369" s="1112"/>
      <c r="F369" s="1112"/>
      <c r="G369" s="1112"/>
      <c r="H369" s="1112"/>
      <c r="I369" s="1112"/>
      <c r="J369" s="1112"/>
    </row>
    <row r="370" spans="1:10">
      <c r="A370" s="1112"/>
      <c r="B370" s="1112"/>
      <c r="C370" s="1112"/>
      <c r="D370" s="1112"/>
      <c r="E370" s="1112"/>
      <c r="F370" s="1112"/>
      <c r="G370" s="1112"/>
      <c r="H370" s="1112"/>
      <c r="I370" s="1112"/>
      <c r="J370" s="1112"/>
    </row>
    <row r="371" spans="1:10">
      <c r="A371" s="1112"/>
      <c r="B371" s="1112"/>
      <c r="C371" s="1112"/>
      <c r="D371" s="1112"/>
      <c r="E371" s="1112"/>
      <c r="F371" s="1112"/>
      <c r="G371" s="1112"/>
      <c r="H371" s="1112"/>
      <c r="I371" s="1112"/>
      <c r="J371" s="1112"/>
    </row>
    <row r="372" spans="1:10">
      <c r="A372" s="1112"/>
      <c r="B372" s="1112"/>
      <c r="C372" s="1112"/>
      <c r="D372" s="1112"/>
      <c r="E372" s="1112"/>
      <c r="F372" s="1112"/>
      <c r="G372" s="1112"/>
      <c r="H372" s="1112"/>
      <c r="I372" s="1112"/>
      <c r="J372" s="1112"/>
    </row>
    <row r="373" spans="1:10">
      <c r="A373" s="1112"/>
      <c r="B373" s="1112"/>
      <c r="C373" s="1112"/>
      <c r="D373" s="1112"/>
      <c r="E373" s="1112"/>
      <c r="F373" s="1112"/>
      <c r="G373" s="1112"/>
      <c r="H373" s="1112"/>
      <c r="I373" s="1112"/>
      <c r="J373" s="1112"/>
    </row>
    <row r="374" spans="1:10">
      <c r="A374" s="1112"/>
      <c r="B374" s="1112"/>
      <c r="C374" s="1112"/>
      <c r="D374" s="1112"/>
      <c r="E374" s="1112"/>
      <c r="F374" s="1112"/>
      <c r="G374" s="1112"/>
      <c r="H374" s="1112"/>
      <c r="I374" s="1112"/>
      <c r="J374" s="1112"/>
    </row>
    <row r="375" spans="1:10">
      <c r="A375" s="1112"/>
      <c r="B375" s="1112"/>
      <c r="C375" s="1112"/>
      <c r="D375" s="1112"/>
      <c r="E375" s="1112"/>
      <c r="F375" s="1112"/>
      <c r="G375" s="1112"/>
      <c r="H375" s="1112"/>
      <c r="I375" s="1112"/>
      <c r="J375" s="1112"/>
    </row>
    <row r="376" spans="1:10">
      <c r="A376" s="1112"/>
      <c r="B376" s="1112"/>
      <c r="C376" s="1112"/>
      <c r="D376" s="1112"/>
      <c r="E376" s="1112"/>
      <c r="F376" s="1112"/>
      <c r="G376" s="1112"/>
      <c r="H376" s="1112"/>
      <c r="I376" s="1112"/>
      <c r="J376" s="1112"/>
    </row>
    <row r="377" spans="1:10">
      <c r="A377" s="1112"/>
      <c r="B377" s="1112"/>
      <c r="C377" s="1112"/>
      <c r="D377" s="1112"/>
      <c r="E377" s="1112"/>
      <c r="F377" s="1112"/>
      <c r="G377" s="1112"/>
      <c r="H377" s="1112"/>
      <c r="I377" s="1112"/>
      <c r="J377" s="1112"/>
    </row>
    <row r="378" spans="1:10">
      <c r="A378" s="1112"/>
      <c r="B378" s="1112"/>
      <c r="C378" s="1112"/>
      <c r="D378" s="1112"/>
      <c r="E378" s="1112"/>
      <c r="F378" s="1112"/>
      <c r="G378" s="1112"/>
      <c r="H378" s="1112"/>
      <c r="I378" s="1112"/>
      <c r="J378" s="1112"/>
    </row>
    <row r="379" spans="1:10">
      <c r="A379" s="1112"/>
      <c r="B379" s="1112"/>
      <c r="C379" s="1112"/>
      <c r="D379" s="1112"/>
      <c r="E379" s="1112"/>
      <c r="F379" s="1112"/>
      <c r="G379" s="1112"/>
      <c r="H379" s="1112"/>
      <c r="I379" s="1112"/>
      <c r="J379" s="1112"/>
    </row>
    <row r="380" spans="1:10">
      <c r="A380" s="1112"/>
      <c r="B380" s="1112"/>
      <c r="C380" s="1112"/>
      <c r="D380" s="1112"/>
      <c r="E380" s="1112"/>
      <c r="F380" s="1112"/>
      <c r="G380" s="1112"/>
      <c r="H380" s="1112"/>
      <c r="I380" s="1112"/>
      <c r="J380" s="1112"/>
    </row>
    <row r="381" spans="1:10">
      <c r="A381" s="1112"/>
      <c r="B381" s="1112"/>
      <c r="C381" s="1112"/>
      <c r="D381" s="1112"/>
      <c r="E381" s="1112"/>
      <c r="F381" s="1112"/>
      <c r="G381" s="1112"/>
      <c r="H381" s="1112"/>
      <c r="I381" s="1112"/>
      <c r="J381" s="1112"/>
    </row>
    <row r="382" spans="1:10">
      <c r="A382" s="1112"/>
      <c r="B382" s="1112"/>
      <c r="C382" s="1112"/>
      <c r="D382" s="1112"/>
      <c r="E382" s="1112"/>
      <c r="F382" s="1112"/>
      <c r="G382" s="1112"/>
      <c r="H382" s="1112"/>
      <c r="I382" s="1112"/>
      <c r="J382" s="1112"/>
    </row>
    <row r="383" spans="1:10">
      <c r="A383" s="1112"/>
      <c r="B383" s="1112"/>
      <c r="C383" s="1112"/>
      <c r="D383" s="1112"/>
      <c r="E383" s="1112"/>
      <c r="F383" s="1112"/>
      <c r="G383" s="1112"/>
      <c r="H383" s="1112"/>
      <c r="I383" s="1112"/>
      <c r="J383" s="1112"/>
    </row>
    <row r="384" spans="1:10">
      <c r="A384" s="1112"/>
      <c r="B384" s="1112"/>
      <c r="C384" s="1112"/>
      <c r="D384" s="1112"/>
      <c r="E384" s="1112"/>
      <c r="F384" s="1112"/>
      <c r="G384" s="1112"/>
      <c r="H384" s="1112"/>
      <c r="I384" s="1112"/>
      <c r="J384" s="1112"/>
    </row>
    <row r="385" spans="1:10">
      <c r="A385" s="1112"/>
      <c r="B385" s="1112"/>
      <c r="C385" s="1112"/>
      <c r="D385" s="1112"/>
      <c r="E385" s="1112"/>
      <c r="F385" s="1112"/>
      <c r="G385" s="1112"/>
      <c r="H385" s="1112"/>
      <c r="I385" s="1112"/>
      <c r="J385" s="1112"/>
    </row>
    <row r="386" spans="1:10">
      <c r="A386" s="1112"/>
      <c r="B386" s="1112"/>
      <c r="C386" s="1112"/>
      <c r="D386" s="1112"/>
      <c r="E386" s="1112"/>
      <c r="F386" s="1112"/>
      <c r="G386" s="1112"/>
      <c r="H386" s="1112"/>
      <c r="I386" s="1112"/>
      <c r="J386" s="1112"/>
    </row>
    <row r="387" spans="1:10">
      <c r="A387" s="1112"/>
      <c r="B387" s="1112"/>
      <c r="C387" s="1112"/>
      <c r="D387" s="1112"/>
      <c r="E387" s="1112"/>
      <c r="F387" s="1112"/>
      <c r="G387" s="1112"/>
      <c r="H387" s="1112"/>
      <c r="I387" s="1112"/>
      <c r="J387" s="1112"/>
    </row>
    <row r="388" spans="1:10">
      <c r="A388" s="1112"/>
      <c r="B388" s="1112"/>
      <c r="C388" s="1112"/>
      <c r="D388" s="1112"/>
      <c r="E388" s="1112"/>
      <c r="F388" s="1112"/>
      <c r="G388" s="1112"/>
      <c r="H388" s="1112"/>
      <c r="I388" s="1112"/>
      <c r="J388" s="1112"/>
    </row>
    <row r="389" spans="1:10">
      <c r="A389" s="1112"/>
      <c r="B389" s="1112"/>
      <c r="C389" s="1112"/>
      <c r="D389" s="1112"/>
      <c r="E389" s="1112"/>
      <c r="F389" s="1112"/>
      <c r="G389" s="1112"/>
      <c r="H389" s="1112"/>
      <c r="I389" s="1112"/>
      <c r="J389" s="1112"/>
    </row>
    <row r="390" spans="1:10">
      <c r="A390" s="1112"/>
      <c r="B390" s="1112"/>
      <c r="C390" s="1112"/>
      <c r="D390" s="1112"/>
      <c r="E390" s="1112"/>
      <c r="F390" s="1112"/>
      <c r="G390" s="1112"/>
      <c r="H390" s="1112"/>
      <c r="I390" s="1112"/>
      <c r="J390" s="1112"/>
    </row>
    <row r="391" spans="1:10">
      <c r="A391" s="1112"/>
      <c r="B391" s="1112"/>
      <c r="C391" s="1112"/>
      <c r="D391" s="1112"/>
      <c r="E391" s="1112"/>
      <c r="F391" s="1112"/>
      <c r="G391" s="1112"/>
      <c r="H391" s="1112"/>
      <c r="I391" s="1112"/>
      <c r="J391" s="1112"/>
    </row>
    <row r="392" spans="1:10">
      <c r="A392" s="1112"/>
      <c r="B392" s="1112"/>
      <c r="C392" s="1112"/>
      <c r="D392" s="1112"/>
      <c r="E392" s="1112"/>
      <c r="F392" s="1112"/>
      <c r="G392" s="1112"/>
      <c r="H392" s="1112"/>
      <c r="I392" s="1112"/>
      <c r="J392" s="1112"/>
    </row>
    <row r="393" spans="1:10">
      <c r="A393" s="1112"/>
      <c r="B393" s="1112"/>
      <c r="C393" s="1112"/>
      <c r="D393" s="1112"/>
      <c r="E393" s="1112"/>
      <c r="F393" s="1112"/>
      <c r="G393" s="1112"/>
      <c r="H393" s="1112"/>
      <c r="I393" s="1112"/>
      <c r="J393" s="1112"/>
    </row>
    <row r="394" spans="1:10">
      <c r="A394" s="1112"/>
      <c r="B394" s="1112"/>
      <c r="C394" s="1112"/>
      <c r="D394" s="1112"/>
      <c r="E394" s="1112"/>
      <c r="F394" s="1112"/>
      <c r="G394" s="1112"/>
      <c r="H394" s="1112"/>
      <c r="I394" s="1112"/>
      <c r="J394" s="1112"/>
    </row>
    <row r="395" spans="1:10">
      <c r="A395" s="1112"/>
      <c r="B395" s="1112"/>
      <c r="C395" s="1112"/>
      <c r="D395" s="1112"/>
      <c r="E395" s="1112"/>
      <c r="F395" s="1112"/>
      <c r="G395" s="1112"/>
      <c r="H395" s="1112"/>
      <c r="I395" s="1112"/>
      <c r="J395" s="1112"/>
    </row>
    <row r="396" spans="1:10">
      <c r="A396" s="1112"/>
      <c r="B396" s="1112"/>
      <c r="C396" s="1112"/>
      <c r="D396" s="1112"/>
      <c r="E396" s="1112"/>
      <c r="F396" s="1112"/>
      <c r="G396" s="1112"/>
      <c r="H396" s="1112"/>
      <c r="I396" s="1112"/>
      <c r="J396" s="1112"/>
    </row>
    <row r="397" spans="1:10">
      <c r="A397" s="1112"/>
      <c r="B397" s="1112"/>
      <c r="C397" s="1112"/>
      <c r="D397" s="1112"/>
      <c r="E397" s="1112"/>
      <c r="F397" s="1112"/>
      <c r="G397" s="1112"/>
      <c r="H397" s="1112"/>
      <c r="I397" s="1112"/>
      <c r="J397" s="1112"/>
    </row>
    <row r="398" spans="1:10">
      <c r="A398" s="1112"/>
      <c r="B398" s="1112"/>
      <c r="C398" s="1112"/>
      <c r="D398" s="1112"/>
      <c r="E398" s="1112"/>
      <c r="F398" s="1112"/>
      <c r="G398" s="1112"/>
      <c r="H398" s="1112"/>
      <c r="I398" s="1112"/>
      <c r="J398" s="1112"/>
    </row>
    <row r="399" spans="1:10">
      <c r="A399" s="1112"/>
      <c r="B399" s="1112"/>
      <c r="C399" s="1112"/>
      <c r="D399" s="1112"/>
      <c r="E399" s="1112"/>
      <c r="F399" s="1112"/>
      <c r="G399" s="1112"/>
      <c r="H399" s="1112"/>
      <c r="I399" s="1112"/>
      <c r="J399" s="1112"/>
    </row>
    <row r="400" spans="1:10">
      <c r="A400" s="1112"/>
      <c r="B400" s="1112"/>
      <c r="C400" s="1112"/>
      <c r="D400" s="1112"/>
      <c r="E400" s="1112"/>
      <c r="F400" s="1112"/>
      <c r="G400" s="1112"/>
      <c r="H400" s="1112"/>
      <c r="I400" s="1112"/>
      <c r="J400" s="1112"/>
    </row>
    <row r="401" spans="1:10">
      <c r="A401" s="1112"/>
      <c r="B401" s="1112"/>
      <c r="C401" s="1112"/>
      <c r="D401" s="1112"/>
      <c r="E401" s="1112"/>
      <c r="F401" s="1112"/>
      <c r="G401" s="1112"/>
      <c r="H401" s="1112"/>
      <c r="I401" s="1112"/>
      <c r="J401" s="1112"/>
    </row>
    <row r="402" spans="1:10">
      <c r="A402" s="1112"/>
      <c r="B402" s="1112"/>
      <c r="C402" s="1112"/>
      <c r="D402" s="1112"/>
      <c r="E402" s="1112"/>
      <c r="F402" s="1112"/>
      <c r="G402" s="1112"/>
      <c r="H402" s="1112"/>
      <c r="I402" s="1112"/>
      <c r="J402" s="1112"/>
    </row>
    <row r="403" spans="1:10">
      <c r="A403" s="1112"/>
      <c r="B403" s="1112"/>
      <c r="C403" s="1112"/>
      <c r="D403" s="1112"/>
      <c r="E403" s="1112"/>
      <c r="F403" s="1112"/>
      <c r="G403" s="1112"/>
      <c r="H403" s="1112"/>
      <c r="I403" s="1112"/>
      <c r="J403" s="1112"/>
    </row>
    <row r="404" spans="1:10">
      <c r="A404" s="1112"/>
      <c r="B404" s="1112"/>
      <c r="C404" s="1112"/>
      <c r="D404" s="1112"/>
      <c r="E404" s="1112"/>
      <c r="F404" s="1112"/>
      <c r="G404" s="1112"/>
      <c r="H404" s="1112"/>
      <c r="I404" s="1112"/>
      <c r="J404" s="1112"/>
    </row>
    <row r="405" spans="1:10">
      <c r="A405" s="1112"/>
      <c r="B405" s="1112"/>
      <c r="C405" s="1112"/>
      <c r="D405" s="1112"/>
      <c r="E405" s="1112"/>
      <c r="F405" s="1112"/>
      <c r="G405" s="1112"/>
      <c r="H405" s="1112"/>
      <c r="I405" s="1112"/>
      <c r="J405" s="1112"/>
    </row>
    <row r="406" spans="1:10">
      <c r="A406" s="1112"/>
      <c r="B406" s="1112"/>
      <c r="C406" s="1112"/>
      <c r="D406" s="1112"/>
      <c r="E406" s="1112"/>
      <c r="F406" s="1112"/>
      <c r="G406" s="1112"/>
      <c r="H406" s="1112"/>
      <c r="I406" s="1112"/>
      <c r="J406" s="1112"/>
    </row>
    <row r="407" spans="1:10">
      <c r="A407" s="1112"/>
      <c r="B407" s="1112"/>
      <c r="C407" s="1112"/>
      <c r="D407" s="1112"/>
      <c r="E407" s="1112"/>
      <c r="F407" s="1112"/>
      <c r="G407" s="1112"/>
      <c r="H407" s="1112"/>
      <c r="I407" s="1112"/>
      <c r="J407" s="1112"/>
    </row>
    <row r="408" spans="1:10">
      <c r="A408" s="1112"/>
      <c r="B408" s="1112"/>
      <c r="C408" s="1112"/>
      <c r="D408" s="1112"/>
      <c r="E408" s="1112"/>
      <c r="F408" s="1112"/>
      <c r="G408" s="1112"/>
      <c r="H408" s="1112"/>
      <c r="I408" s="1112"/>
      <c r="J408" s="1112"/>
    </row>
    <row r="409" spans="1:10">
      <c r="A409" s="1112"/>
      <c r="B409" s="1112"/>
      <c r="C409" s="1112"/>
      <c r="D409" s="1112"/>
      <c r="E409" s="1112"/>
      <c r="F409" s="1112"/>
      <c r="G409" s="1112"/>
      <c r="H409" s="1112"/>
      <c r="I409" s="1112"/>
      <c r="J409" s="1112"/>
    </row>
    <row r="410" spans="1:10">
      <c r="A410" s="1112"/>
      <c r="B410" s="1112"/>
      <c r="C410" s="1112"/>
      <c r="D410" s="1112"/>
      <c r="E410" s="1112"/>
      <c r="F410" s="1112"/>
      <c r="G410" s="1112"/>
      <c r="H410" s="1112"/>
      <c r="I410" s="1112"/>
      <c r="J410" s="1112"/>
    </row>
    <row r="411" spans="1:10">
      <c r="A411" s="1112"/>
      <c r="B411" s="1112"/>
      <c r="C411" s="1112"/>
      <c r="D411" s="1112"/>
      <c r="E411" s="1112"/>
      <c r="F411" s="1112"/>
      <c r="G411" s="1112"/>
      <c r="H411" s="1112"/>
      <c r="I411" s="1112"/>
      <c r="J411" s="1112"/>
    </row>
    <row r="412" spans="1:10">
      <c r="A412" s="1112"/>
      <c r="B412" s="1112"/>
      <c r="C412" s="1112"/>
      <c r="D412" s="1112"/>
      <c r="E412" s="1112"/>
      <c r="F412" s="1112"/>
      <c r="G412" s="1112"/>
      <c r="H412" s="1112"/>
      <c r="I412" s="1112"/>
      <c r="J412" s="1112"/>
    </row>
    <row r="413" spans="1:10">
      <c r="A413" s="1112"/>
      <c r="B413" s="1112"/>
      <c r="C413" s="1112"/>
      <c r="D413" s="1112"/>
      <c r="E413" s="1112"/>
      <c r="F413" s="1112"/>
      <c r="G413" s="1112"/>
      <c r="H413" s="1112"/>
      <c r="I413" s="1112"/>
      <c r="J413" s="1112"/>
    </row>
    <row r="414" spans="1:10">
      <c r="A414" s="1112"/>
      <c r="B414" s="1112"/>
      <c r="C414" s="1112"/>
      <c r="D414" s="1112"/>
      <c r="E414" s="1112"/>
      <c r="F414" s="1112"/>
      <c r="G414" s="1112"/>
      <c r="H414" s="1112"/>
      <c r="I414" s="1112"/>
      <c r="J414" s="1112"/>
    </row>
    <row r="415" spans="1:10">
      <c r="A415" s="1112"/>
      <c r="B415" s="1112"/>
      <c r="C415" s="1112"/>
      <c r="D415" s="1112"/>
      <c r="E415" s="1112"/>
      <c r="F415" s="1112"/>
      <c r="G415" s="1112"/>
      <c r="H415" s="1112"/>
      <c r="I415" s="1112"/>
      <c r="J415" s="1112"/>
    </row>
    <row r="416" spans="1:10">
      <c r="A416" s="1112"/>
      <c r="B416" s="1112"/>
      <c r="C416" s="1112"/>
      <c r="D416" s="1112"/>
      <c r="E416" s="1112"/>
      <c r="F416" s="1112"/>
      <c r="G416" s="1112"/>
      <c r="H416" s="1112"/>
      <c r="I416" s="1112"/>
      <c r="J416" s="1112"/>
    </row>
    <row r="417" spans="1:10">
      <c r="A417" s="1112"/>
      <c r="B417" s="1112"/>
      <c r="C417" s="1112"/>
      <c r="D417" s="1112"/>
      <c r="E417" s="1112"/>
      <c r="F417" s="1112"/>
      <c r="G417" s="1112"/>
      <c r="H417" s="1112"/>
      <c r="I417" s="1112"/>
      <c r="J417" s="1112"/>
    </row>
    <row r="418" spans="1:10">
      <c r="A418" s="1112"/>
      <c r="B418" s="1112"/>
      <c r="C418" s="1112"/>
      <c r="D418" s="1112"/>
      <c r="E418" s="1112"/>
      <c r="F418" s="1112"/>
      <c r="G418" s="1112"/>
      <c r="H418" s="1112"/>
      <c r="I418" s="1112"/>
      <c r="J418" s="1112"/>
    </row>
    <row r="419" spans="1:10">
      <c r="A419" s="1112"/>
      <c r="B419" s="1112"/>
      <c r="C419" s="1112"/>
      <c r="D419" s="1112"/>
      <c r="E419" s="1112"/>
      <c r="F419" s="1112"/>
      <c r="G419" s="1112"/>
      <c r="H419" s="1112"/>
      <c r="I419" s="1112"/>
      <c r="J419" s="1112"/>
    </row>
    <row r="420" spans="1:10">
      <c r="A420" s="1112"/>
      <c r="B420" s="1112"/>
      <c r="C420" s="1112"/>
      <c r="D420" s="1112"/>
      <c r="E420" s="1112"/>
      <c r="F420" s="1112"/>
      <c r="G420" s="1112"/>
      <c r="H420" s="1112"/>
      <c r="I420" s="1112"/>
      <c r="J420" s="1112"/>
    </row>
    <row r="421" spans="1:10">
      <c r="A421" s="1112"/>
      <c r="B421" s="1112"/>
      <c r="C421" s="1112"/>
      <c r="D421" s="1112"/>
      <c r="E421" s="1112"/>
      <c r="F421" s="1112"/>
      <c r="G421" s="1112"/>
      <c r="H421" s="1112"/>
      <c r="I421" s="1112"/>
      <c r="J421" s="1112"/>
    </row>
    <row r="422" spans="1:10">
      <c r="A422" s="1112"/>
      <c r="B422" s="1112"/>
      <c r="C422" s="1112"/>
      <c r="D422" s="1112"/>
      <c r="E422" s="1112"/>
      <c r="F422" s="1112"/>
      <c r="G422" s="1112"/>
      <c r="H422" s="1112"/>
      <c r="I422" s="1112"/>
      <c r="J422" s="1112"/>
    </row>
    <row r="423" spans="1:10">
      <c r="A423" s="1112"/>
      <c r="B423" s="1112"/>
      <c r="C423" s="1112"/>
      <c r="D423" s="1112"/>
      <c r="E423" s="1112"/>
      <c r="F423" s="1112"/>
      <c r="G423" s="1112"/>
      <c r="H423" s="1112"/>
      <c r="I423" s="1112"/>
      <c r="J423" s="1112"/>
    </row>
    <row r="424" spans="1:10">
      <c r="A424" s="1112"/>
      <c r="B424" s="1112"/>
      <c r="C424" s="1112"/>
      <c r="D424" s="1112"/>
      <c r="E424" s="1112"/>
      <c r="F424" s="1112"/>
      <c r="G424" s="1112"/>
      <c r="H424" s="1112"/>
      <c r="I424" s="1112"/>
      <c r="J424" s="1112"/>
    </row>
    <row r="425" spans="1:10">
      <c r="A425" s="1112"/>
      <c r="B425" s="1112"/>
      <c r="C425" s="1112"/>
      <c r="D425" s="1112"/>
      <c r="E425" s="1112"/>
      <c r="F425" s="1112"/>
      <c r="G425" s="1112"/>
      <c r="H425" s="1112"/>
      <c r="I425" s="1112"/>
      <c r="J425" s="1112"/>
    </row>
  </sheetData>
  <mergeCells count="8">
    <mergeCell ref="B3:H3"/>
    <mergeCell ref="B4:H4"/>
    <mergeCell ref="B5:H5"/>
    <mergeCell ref="C23:F23"/>
    <mergeCell ref="C27:G42"/>
    <mergeCell ref="C20:F20"/>
    <mergeCell ref="C21:F21"/>
    <mergeCell ref="C22:F22"/>
  </mergeCells>
  <pageMargins left="0.7" right="0.7" top="0.75" bottom="0.75" header="0.3" footer="0.3"/>
  <pageSetup scale="82" orientation="portrait" blackAndWhite="1" r:id="rId1"/>
  <legacyDrawing r:id="rId2"/>
</worksheet>
</file>

<file path=xl/worksheets/sheet32.xml><?xml version="1.0" encoding="utf-8"?>
<worksheet xmlns="http://schemas.openxmlformats.org/spreadsheetml/2006/main" xmlns:r="http://schemas.openxmlformats.org/officeDocument/2006/relationships">
  <sheetPr codeName="Sheet22">
    <pageSetUpPr fitToPage="1"/>
  </sheetPr>
  <dimension ref="A1:P259"/>
  <sheetViews>
    <sheetView showGridLines="0" topLeftCell="A4" zoomScale="85" zoomScaleNormal="85" workbookViewId="0">
      <selection activeCell="B52" sqref="B52"/>
    </sheetView>
  </sheetViews>
  <sheetFormatPr defaultColWidth="10.28515625" defaultRowHeight="12.75"/>
  <cols>
    <col min="1" max="16384" width="10.28515625" style="91"/>
  </cols>
  <sheetData>
    <row r="1" spans="1:16">
      <c r="A1" s="185"/>
      <c r="B1" s="714" t="str">
        <f>TestYear &amp; " Test Year"</f>
        <v>2015 Test Year</v>
      </c>
      <c r="C1" s="665"/>
      <c r="D1" s="665"/>
      <c r="E1" s="665"/>
      <c r="F1" s="665"/>
      <c r="G1" s="665"/>
      <c r="H1" s="665"/>
      <c r="I1" s="665"/>
      <c r="J1" s="665"/>
      <c r="K1" s="666" t="s">
        <v>812</v>
      </c>
      <c r="L1" s="185"/>
      <c r="M1" s="185"/>
      <c r="N1" s="185"/>
      <c r="O1" s="185"/>
      <c r="P1" s="185"/>
    </row>
    <row r="2" spans="1:16">
      <c r="A2" s="185"/>
      <c r="B2" s="665"/>
      <c r="C2" s="1942" t="str">
        <f>Utility</f>
        <v>MADISON WATER UTILITY</v>
      </c>
      <c r="D2" s="1942"/>
      <c r="E2" s="1942"/>
      <c r="F2" s="1942"/>
      <c r="G2" s="1942"/>
      <c r="H2" s="1942"/>
      <c r="I2" s="1942"/>
      <c r="J2" s="1942"/>
      <c r="K2" s="665"/>
      <c r="L2" s="185"/>
      <c r="M2" s="185"/>
      <c r="N2" s="185"/>
      <c r="O2" s="185"/>
      <c r="P2" s="185"/>
    </row>
    <row r="3" spans="1:16">
      <c r="A3" s="185"/>
      <c r="B3" s="667"/>
      <c r="C3" s="1973">
        <f>TestYear</f>
        <v>2015</v>
      </c>
      <c r="D3" s="1973"/>
      <c r="E3" s="1973"/>
      <c r="F3" s="1973"/>
      <c r="G3" s="1973"/>
      <c r="H3" s="1973"/>
      <c r="I3" s="1973"/>
      <c r="J3" s="1973"/>
      <c r="K3" s="665"/>
      <c r="L3" s="185"/>
      <c r="M3" s="185"/>
      <c r="N3" s="185"/>
      <c r="O3" s="185"/>
      <c r="P3" s="185"/>
    </row>
    <row r="4" spans="1:16">
      <c r="A4" s="185"/>
      <c r="B4" s="665"/>
      <c r="C4" s="2127" t="s">
        <v>813</v>
      </c>
      <c r="D4" s="2127"/>
      <c r="E4" s="2127"/>
      <c r="F4" s="2127"/>
      <c r="G4" s="2127"/>
      <c r="H4" s="2127"/>
      <c r="I4" s="2127"/>
      <c r="J4" s="2127"/>
      <c r="K4" s="665"/>
      <c r="L4" s="185"/>
      <c r="M4" s="185"/>
      <c r="N4" s="185"/>
      <c r="O4" s="185"/>
      <c r="P4" s="185"/>
    </row>
    <row r="5" spans="1:16">
      <c r="A5" s="185"/>
      <c r="B5" s="665"/>
      <c r="C5" s="665"/>
      <c r="D5" s="665"/>
      <c r="E5" s="665"/>
      <c r="F5" s="665"/>
      <c r="G5" s="665"/>
      <c r="H5" s="665"/>
      <c r="I5" s="665"/>
      <c r="J5" s="665"/>
      <c r="K5" s="665"/>
      <c r="L5" s="185"/>
      <c r="M5" s="185"/>
      <c r="N5" s="185"/>
      <c r="O5" s="185"/>
      <c r="P5" s="185"/>
    </row>
    <row r="6" spans="1:16">
      <c r="A6" s="185"/>
      <c r="B6" s="1037"/>
      <c r="C6" s="1037"/>
      <c r="D6" s="1037"/>
      <c r="E6" s="1037"/>
      <c r="F6" s="1037"/>
      <c r="G6" s="1037"/>
      <c r="H6" s="1037"/>
      <c r="I6" s="1037"/>
      <c r="J6" s="1037"/>
      <c r="K6" s="1037"/>
      <c r="L6" s="185"/>
      <c r="M6" s="185"/>
      <c r="N6" s="185"/>
      <c r="O6" s="185"/>
      <c r="P6" s="185"/>
    </row>
    <row r="7" spans="1:16">
      <c r="A7" s="185"/>
      <c r="B7" s="185"/>
      <c r="C7" s="185"/>
      <c r="D7" s="185"/>
      <c r="E7" s="185"/>
      <c r="F7" s="185"/>
      <c r="G7" s="185"/>
      <c r="H7" s="185"/>
      <c r="I7" s="185"/>
      <c r="J7" s="185"/>
      <c r="K7" s="185"/>
      <c r="L7" s="185"/>
      <c r="M7" s="185"/>
      <c r="N7" s="185"/>
      <c r="O7" s="185"/>
      <c r="P7" s="185"/>
    </row>
    <row r="8" spans="1:16">
      <c r="A8" s="185"/>
      <c r="B8" s="2003" t="s">
        <v>1334</v>
      </c>
      <c r="C8" s="2118"/>
      <c r="D8" s="2118"/>
      <c r="E8" s="2118"/>
      <c r="F8" s="2118"/>
      <c r="G8" s="2118"/>
      <c r="H8" s="2118"/>
      <c r="I8" s="2118"/>
      <c r="J8" s="2118"/>
      <c r="K8" s="2119"/>
      <c r="L8" s="185"/>
      <c r="M8" s="185"/>
      <c r="N8" s="185"/>
      <c r="O8" s="185"/>
      <c r="P8" s="185"/>
    </row>
    <row r="9" spans="1:16">
      <c r="A9" s="185"/>
      <c r="B9" s="2120"/>
      <c r="C9" s="2121"/>
      <c r="D9" s="2121"/>
      <c r="E9" s="2121"/>
      <c r="F9" s="2121"/>
      <c r="G9" s="2121"/>
      <c r="H9" s="2121"/>
      <c r="I9" s="2121"/>
      <c r="J9" s="2121"/>
      <c r="K9" s="2122"/>
      <c r="L9" s="185"/>
      <c r="M9" s="185"/>
      <c r="N9" s="185"/>
      <c r="O9" s="185"/>
      <c r="P9" s="185"/>
    </row>
    <row r="10" spans="1:16" ht="36.75" customHeight="1">
      <c r="A10" s="185"/>
      <c r="B10" s="2120"/>
      <c r="C10" s="2121"/>
      <c r="D10" s="2121"/>
      <c r="E10" s="2121"/>
      <c r="F10" s="2121"/>
      <c r="G10" s="2121"/>
      <c r="H10" s="2121"/>
      <c r="I10" s="2121"/>
      <c r="J10" s="2121"/>
      <c r="K10" s="2122"/>
      <c r="L10" s="185"/>
      <c r="M10" s="2126" t="s">
        <v>989</v>
      </c>
      <c r="N10" s="2126"/>
      <c r="O10" s="2126"/>
      <c r="P10" s="185"/>
    </row>
    <row r="11" spans="1:16">
      <c r="A11" s="185"/>
      <c r="B11" s="2120"/>
      <c r="C11" s="2121"/>
      <c r="D11" s="2121"/>
      <c r="E11" s="2121"/>
      <c r="F11" s="2121"/>
      <c r="G11" s="2121"/>
      <c r="H11" s="2121"/>
      <c r="I11" s="2121"/>
      <c r="J11" s="2121"/>
      <c r="K11" s="2122"/>
      <c r="L11" s="185"/>
      <c r="M11" s="185"/>
      <c r="N11" s="185"/>
      <c r="O11" s="185"/>
      <c r="P11" s="185"/>
    </row>
    <row r="12" spans="1:16">
      <c r="A12" s="185"/>
      <c r="B12" s="2120"/>
      <c r="C12" s="2121"/>
      <c r="D12" s="2121"/>
      <c r="E12" s="2121"/>
      <c r="F12" s="2121"/>
      <c r="G12" s="2121"/>
      <c r="H12" s="2121"/>
      <c r="I12" s="2121"/>
      <c r="J12" s="2121"/>
      <c r="K12" s="2122"/>
      <c r="L12" s="185"/>
      <c r="M12" s="185"/>
      <c r="N12" s="185"/>
      <c r="O12" s="185"/>
      <c r="P12" s="185"/>
    </row>
    <row r="13" spans="1:16">
      <c r="A13" s="185"/>
      <c r="B13" s="2120"/>
      <c r="C13" s="2121"/>
      <c r="D13" s="2121"/>
      <c r="E13" s="2121"/>
      <c r="F13" s="2121"/>
      <c r="G13" s="2121"/>
      <c r="H13" s="2121"/>
      <c r="I13" s="2121"/>
      <c r="J13" s="2121"/>
      <c r="K13" s="2122"/>
      <c r="L13" s="185"/>
      <c r="M13" s="185"/>
      <c r="N13" s="185"/>
      <c r="O13" s="185"/>
      <c r="P13" s="185"/>
    </row>
    <row r="14" spans="1:16">
      <c r="A14" s="185"/>
      <c r="B14" s="2120"/>
      <c r="C14" s="2121"/>
      <c r="D14" s="2121"/>
      <c r="E14" s="2121"/>
      <c r="F14" s="2121"/>
      <c r="G14" s="2121"/>
      <c r="H14" s="2121"/>
      <c r="I14" s="2121"/>
      <c r="J14" s="2121"/>
      <c r="K14" s="2122"/>
      <c r="L14" s="185"/>
      <c r="M14" s="185"/>
      <c r="N14" s="185"/>
      <c r="O14" s="185"/>
      <c r="P14" s="185"/>
    </row>
    <row r="15" spans="1:16">
      <c r="A15" s="185"/>
      <c r="B15" s="2120"/>
      <c r="C15" s="2121"/>
      <c r="D15" s="2121"/>
      <c r="E15" s="2121"/>
      <c r="F15" s="2121"/>
      <c r="G15" s="2121"/>
      <c r="H15" s="2121"/>
      <c r="I15" s="2121"/>
      <c r="J15" s="2121"/>
      <c r="K15" s="2122"/>
      <c r="L15" s="185"/>
      <c r="M15" s="185"/>
      <c r="N15" s="185"/>
      <c r="O15" s="185"/>
      <c r="P15" s="185"/>
    </row>
    <row r="16" spans="1:16">
      <c r="A16" s="185"/>
      <c r="B16" s="2120"/>
      <c r="C16" s="2121"/>
      <c r="D16" s="2121"/>
      <c r="E16" s="2121"/>
      <c r="F16" s="2121"/>
      <c r="G16" s="2121"/>
      <c r="H16" s="2121"/>
      <c r="I16" s="2121"/>
      <c r="J16" s="2121"/>
      <c r="K16" s="2122"/>
      <c r="L16" s="185"/>
      <c r="M16" s="185"/>
      <c r="N16" s="185"/>
      <c r="O16" s="185"/>
      <c r="P16" s="185"/>
    </row>
    <row r="17" spans="1:16">
      <c r="A17" s="185"/>
      <c r="B17" s="2120"/>
      <c r="C17" s="2121"/>
      <c r="D17" s="2121"/>
      <c r="E17" s="2121"/>
      <c r="F17" s="2121"/>
      <c r="G17" s="2121"/>
      <c r="H17" s="2121"/>
      <c r="I17" s="2121"/>
      <c r="J17" s="2121"/>
      <c r="K17" s="2122"/>
      <c r="L17" s="185"/>
      <c r="M17" s="185"/>
      <c r="N17" s="185"/>
      <c r="O17" s="185"/>
      <c r="P17" s="185"/>
    </row>
    <row r="18" spans="1:16">
      <c r="A18" s="185"/>
      <c r="B18" s="2120"/>
      <c r="C18" s="2121"/>
      <c r="D18" s="2121"/>
      <c r="E18" s="2121"/>
      <c r="F18" s="2121"/>
      <c r="G18" s="2121"/>
      <c r="H18" s="2121"/>
      <c r="I18" s="2121"/>
      <c r="J18" s="2121"/>
      <c r="K18" s="2122"/>
      <c r="L18" s="185"/>
      <c r="M18" s="185"/>
      <c r="N18" s="185"/>
      <c r="O18" s="185"/>
      <c r="P18" s="185"/>
    </row>
    <row r="19" spans="1:16">
      <c r="A19" s="185"/>
      <c r="B19" s="2120"/>
      <c r="C19" s="2121"/>
      <c r="D19" s="2121"/>
      <c r="E19" s="2121"/>
      <c r="F19" s="2121"/>
      <c r="G19" s="2121"/>
      <c r="H19" s="2121"/>
      <c r="I19" s="2121"/>
      <c r="J19" s="2121"/>
      <c r="K19" s="2122"/>
      <c r="L19" s="185"/>
      <c r="M19" s="185"/>
      <c r="N19" s="185"/>
      <c r="O19" s="185"/>
      <c r="P19" s="185"/>
    </row>
    <row r="20" spans="1:16">
      <c r="A20" s="185"/>
      <c r="B20" s="2120"/>
      <c r="C20" s="2121"/>
      <c r="D20" s="2121"/>
      <c r="E20" s="2121"/>
      <c r="F20" s="2121"/>
      <c r="G20" s="2121"/>
      <c r="H20" s="2121"/>
      <c r="I20" s="2121"/>
      <c r="J20" s="2121"/>
      <c r="K20" s="2122"/>
      <c r="L20" s="185"/>
      <c r="M20" s="185"/>
      <c r="N20" s="185"/>
      <c r="O20" s="185"/>
      <c r="P20" s="185"/>
    </row>
    <row r="21" spans="1:16">
      <c r="A21" s="185"/>
      <c r="B21" s="2120"/>
      <c r="C21" s="2121"/>
      <c r="D21" s="2121"/>
      <c r="E21" s="2121"/>
      <c r="F21" s="2121"/>
      <c r="G21" s="2121"/>
      <c r="H21" s="2121"/>
      <c r="I21" s="2121"/>
      <c r="J21" s="2121"/>
      <c r="K21" s="2122"/>
      <c r="L21" s="185"/>
      <c r="M21" s="185"/>
      <c r="N21" s="185"/>
      <c r="O21" s="185"/>
      <c r="P21" s="185"/>
    </row>
    <row r="22" spans="1:16">
      <c r="A22" s="185"/>
      <c r="B22" s="2120"/>
      <c r="C22" s="2121"/>
      <c r="D22" s="2121"/>
      <c r="E22" s="2121"/>
      <c r="F22" s="2121"/>
      <c r="G22" s="2121"/>
      <c r="H22" s="2121"/>
      <c r="I22" s="2121"/>
      <c r="J22" s="2121"/>
      <c r="K22" s="2122"/>
      <c r="L22" s="185"/>
      <c r="M22" s="185"/>
      <c r="N22" s="185"/>
      <c r="O22" s="185"/>
      <c r="P22" s="185"/>
    </row>
    <row r="23" spans="1:16">
      <c r="A23" s="185"/>
      <c r="B23" s="2120"/>
      <c r="C23" s="2121"/>
      <c r="D23" s="2121"/>
      <c r="E23" s="2121"/>
      <c r="F23" s="2121"/>
      <c r="G23" s="2121"/>
      <c r="H23" s="2121"/>
      <c r="I23" s="2121"/>
      <c r="J23" s="2121"/>
      <c r="K23" s="2122"/>
      <c r="L23" s="185"/>
      <c r="M23" s="185"/>
      <c r="N23" s="185"/>
      <c r="O23" s="185"/>
      <c r="P23" s="185"/>
    </row>
    <row r="24" spans="1:16">
      <c r="A24" s="185"/>
      <c r="B24" s="2120"/>
      <c r="C24" s="2121"/>
      <c r="D24" s="2121"/>
      <c r="E24" s="2121"/>
      <c r="F24" s="2121"/>
      <c r="G24" s="2121"/>
      <c r="H24" s="2121"/>
      <c r="I24" s="2121"/>
      <c r="J24" s="2121"/>
      <c r="K24" s="2122"/>
      <c r="L24" s="185"/>
      <c r="M24" s="185"/>
      <c r="N24" s="185"/>
      <c r="O24" s="185"/>
      <c r="P24" s="185"/>
    </row>
    <row r="25" spans="1:16">
      <c r="A25" s="185"/>
      <c r="B25" s="2120"/>
      <c r="C25" s="2121"/>
      <c r="D25" s="2121"/>
      <c r="E25" s="2121"/>
      <c r="F25" s="2121"/>
      <c r="G25" s="2121"/>
      <c r="H25" s="2121"/>
      <c r="I25" s="2121"/>
      <c r="J25" s="2121"/>
      <c r="K25" s="2122"/>
      <c r="L25" s="185"/>
      <c r="M25" s="185"/>
      <c r="N25" s="185"/>
      <c r="O25" s="185"/>
      <c r="P25" s="185"/>
    </row>
    <row r="26" spans="1:16">
      <c r="A26" s="185"/>
      <c r="B26" s="2120"/>
      <c r="C26" s="2121"/>
      <c r="D26" s="2121"/>
      <c r="E26" s="2121"/>
      <c r="F26" s="2121"/>
      <c r="G26" s="2121"/>
      <c r="H26" s="2121"/>
      <c r="I26" s="2121"/>
      <c r="J26" s="2121"/>
      <c r="K26" s="2122"/>
      <c r="L26" s="185"/>
      <c r="M26" s="185"/>
      <c r="N26" s="185"/>
      <c r="O26" s="185"/>
      <c r="P26" s="185"/>
    </row>
    <row r="27" spans="1:16">
      <c r="A27" s="185"/>
      <c r="B27" s="2120"/>
      <c r="C27" s="2121"/>
      <c r="D27" s="2121"/>
      <c r="E27" s="2121"/>
      <c r="F27" s="2121"/>
      <c r="G27" s="2121"/>
      <c r="H27" s="2121"/>
      <c r="I27" s="2121"/>
      <c r="J27" s="2121"/>
      <c r="K27" s="2122"/>
      <c r="L27" s="185"/>
      <c r="M27" s="185"/>
      <c r="N27" s="185"/>
      <c r="O27" s="185"/>
      <c r="P27" s="185"/>
    </row>
    <row r="28" spans="1:16">
      <c r="A28" s="185"/>
      <c r="B28" s="2120"/>
      <c r="C28" s="2121"/>
      <c r="D28" s="2121"/>
      <c r="E28" s="2121"/>
      <c r="F28" s="2121"/>
      <c r="G28" s="2121"/>
      <c r="H28" s="2121"/>
      <c r="I28" s="2121"/>
      <c r="J28" s="2121"/>
      <c r="K28" s="2122"/>
      <c r="L28" s="185"/>
      <c r="M28" s="185"/>
      <c r="N28" s="185"/>
      <c r="O28" s="185"/>
      <c r="P28" s="185"/>
    </row>
    <row r="29" spans="1:16">
      <c r="A29" s="185"/>
      <c r="B29" s="2120"/>
      <c r="C29" s="2121"/>
      <c r="D29" s="2121"/>
      <c r="E29" s="2121"/>
      <c r="F29" s="2121"/>
      <c r="G29" s="2121"/>
      <c r="H29" s="2121"/>
      <c r="I29" s="2121"/>
      <c r="J29" s="2121"/>
      <c r="K29" s="2122"/>
      <c r="L29" s="185"/>
      <c r="M29" s="185"/>
      <c r="N29" s="185"/>
      <c r="O29" s="185"/>
      <c r="P29" s="185"/>
    </row>
    <row r="30" spans="1:16">
      <c r="A30" s="185"/>
      <c r="B30" s="2120"/>
      <c r="C30" s="2121"/>
      <c r="D30" s="2121"/>
      <c r="E30" s="2121"/>
      <c r="F30" s="2121"/>
      <c r="G30" s="2121"/>
      <c r="H30" s="2121"/>
      <c r="I30" s="2121"/>
      <c r="J30" s="2121"/>
      <c r="K30" s="2122"/>
      <c r="L30" s="185"/>
      <c r="M30" s="185"/>
      <c r="N30" s="185"/>
      <c r="O30" s="185"/>
      <c r="P30" s="185"/>
    </row>
    <row r="31" spans="1:16">
      <c r="A31" s="185"/>
      <c r="B31" s="2120"/>
      <c r="C31" s="2121"/>
      <c r="D31" s="2121"/>
      <c r="E31" s="2121"/>
      <c r="F31" s="2121"/>
      <c r="G31" s="2121"/>
      <c r="H31" s="2121"/>
      <c r="I31" s="2121"/>
      <c r="J31" s="2121"/>
      <c r="K31" s="2122"/>
      <c r="L31" s="185"/>
      <c r="M31" s="185"/>
      <c r="N31" s="185"/>
      <c r="O31" s="185"/>
      <c r="P31" s="185"/>
    </row>
    <row r="32" spans="1:16">
      <c r="A32" s="185"/>
      <c r="B32" s="2120"/>
      <c r="C32" s="2121"/>
      <c r="D32" s="2121"/>
      <c r="E32" s="2121"/>
      <c r="F32" s="2121"/>
      <c r="G32" s="2121"/>
      <c r="H32" s="2121"/>
      <c r="I32" s="2121"/>
      <c r="J32" s="2121"/>
      <c r="K32" s="2122"/>
      <c r="L32" s="185"/>
      <c r="M32" s="185"/>
      <c r="N32" s="185"/>
      <c r="O32" s="185"/>
      <c r="P32" s="185"/>
    </row>
    <row r="33" spans="1:16">
      <c r="A33" s="185"/>
      <c r="B33" s="2120"/>
      <c r="C33" s="2121"/>
      <c r="D33" s="2121"/>
      <c r="E33" s="2121"/>
      <c r="F33" s="2121"/>
      <c r="G33" s="2121"/>
      <c r="H33" s="2121"/>
      <c r="I33" s="2121"/>
      <c r="J33" s="2121"/>
      <c r="K33" s="2122"/>
      <c r="L33" s="185"/>
      <c r="M33" s="185"/>
      <c r="N33" s="185"/>
      <c r="O33" s="185"/>
      <c r="P33" s="185"/>
    </row>
    <row r="34" spans="1:16">
      <c r="A34" s="185"/>
      <c r="B34" s="2120"/>
      <c r="C34" s="2121"/>
      <c r="D34" s="2121"/>
      <c r="E34" s="2121"/>
      <c r="F34" s="2121"/>
      <c r="G34" s="2121"/>
      <c r="H34" s="2121"/>
      <c r="I34" s="2121"/>
      <c r="J34" s="2121"/>
      <c r="K34" s="2122"/>
      <c r="L34" s="185"/>
      <c r="M34" s="185"/>
      <c r="N34" s="185"/>
      <c r="O34" s="185"/>
      <c r="P34" s="185"/>
    </row>
    <row r="35" spans="1:16">
      <c r="A35" s="185"/>
      <c r="B35" s="2120"/>
      <c r="C35" s="2121"/>
      <c r="D35" s="2121"/>
      <c r="E35" s="2121"/>
      <c r="F35" s="2121"/>
      <c r="G35" s="2121"/>
      <c r="H35" s="2121"/>
      <c r="I35" s="2121"/>
      <c r="J35" s="2121"/>
      <c r="K35" s="2122"/>
      <c r="L35" s="185"/>
      <c r="M35" s="185"/>
      <c r="N35" s="185"/>
      <c r="O35" s="185"/>
      <c r="P35" s="185"/>
    </row>
    <row r="36" spans="1:16">
      <c r="A36" s="185"/>
      <c r="B36" s="2120"/>
      <c r="C36" s="2121"/>
      <c r="D36" s="2121"/>
      <c r="E36" s="2121"/>
      <c r="F36" s="2121"/>
      <c r="G36" s="2121"/>
      <c r="H36" s="2121"/>
      <c r="I36" s="2121"/>
      <c r="J36" s="2121"/>
      <c r="K36" s="2122"/>
      <c r="L36" s="185"/>
      <c r="M36" s="185"/>
      <c r="N36" s="185"/>
      <c r="O36" s="185"/>
      <c r="P36" s="185"/>
    </row>
    <row r="37" spans="1:16">
      <c r="A37" s="185"/>
      <c r="B37" s="2120"/>
      <c r="C37" s="2121"/>
      <c r="D37" s="2121"/>
      <c r="E37" s="2121"/>
      <c r="F37" s="2121"/>
      <c r="G37" s="2121"/>
      <c r="H37" s="2121"/>
      <c r="I37" s="2121"/>
      <c r="J37" s="2121"/>
      <c r="K37" s="2122"/>
      <c r="L37" s="185"/>
      <c r="M37" s="185"/>
      <c r="N37" s="185"/>
      <c r="O37" s="185"/>
      <c r="P37" s="185"/>
    </row>
    <row r="38" spans="1:16">
      <c r="A38" s="185"/>
      <c r="B38" s="2120"/>
      <c r="C38" s="2121"/>
      <c r="D38" s="2121"/>
      <c r="E38" s="2121"/>
      <c r="F38" s="2121"/>
      <c r="G38" s="2121"/>
      <c r="H38" s="2121"/>
      <c r="I38" s="2121"/>
      <c r="J38" s="2121"/>
      <c r="K38" s="2122"/>
      <c r="L38" s="185"/>
      <c r="M38" s="185"/>
      <c r="N38" s="185"/>
      <c r="O38" s="185"/>
      <c r="P38" s="185"/>
    </row>
    <row r="39" spans="1:16">
      <c r="A39" s="185"/>
      <c r="B39" s="2120"/>
      <c r="C39" s="2121"/>
      <c r="D39" s="2121"/>
      <c r="E39" s="2121"/>
      <c r="F39" s="2121"/>
      <c r="G39" s="2121"/>
      <c r="H39" s="2121"/>
      <c r="I39" s="2121"/>
      <c r="J39" s="2121"/>
      <c r="K39" s="2122"/>
      <c r="L39" s="185"/>
      <c r="M39" s="185"/>
      <c r="N39" s="185"/>
      <c r="O39" s="185"/>
      <c r="P39" s="185"/>
    </row>
    <row r="40" spans="1:16">
      <c r="A40" s="185"/>
      <c r="B40" s="2120"/>
      <c r="C40" s="2121"/>
      <c r="D40" s="2121"/>
      <c r="E40" s="2121"/>
      <c r="F40" s="2121"/>
      <c r="G40" s="2121"/>
      <c r="H40" s="2121"/>
      <c r="I40" s="2121"/>
      <c r="J40" s="2121"/>
      <c r="K40" s="2122"/>
      <c r="L40" s="185"/>
      <c r="M40" s="185"/>
      <c r="N40" s="185"/>
      <c r="O40" s="185"/>
      <c r="P40" s="185"/>
    </row>
    <row r="41" spans="1:16">
      <c r="A41" s="185"/>
      <c r="B41" s="2120"/>
      <c r="C41" s="2121"/>
      <c r="D41" s="2121"/>
      <c r="E41" s="2121"/>
      <c r="F41" s="2121"/>
      <c r="G41" s="2121"/>
      <c r="H41" s="2121"/>
      <c r="I41" s="2121"/>
      <c r="J41" s="2121"/>
      <c r="K41" s="2122"/>
      <c r="L41" s="185"/>
      <c r="M41" s="185"/>
      <c r="N41" s="185"/>
      <c r="O41" s="185"/>
      <c r="P41" s="185"/>
    </row>
    <row r="42" spans="1:16">
      <c r="A42" s="185"/>
      <c r="B42" s="2120"/>
      <c r="C42" s="2121"/>
      <c r="D42" s="2121"/>
      <c r="E42" s="2121"/>
      <c r="F42" s="2121"/>
      <c r="G42" s="2121"/>
      <c r="H42" s="2121"/>
      <c r="I42" s="2121"/>
      <c r="J42" s="2121"/>
      <c r="K42" s="2122"/>
      <c r="L42" s="185"/>
      <c r="M42" s="185"/>
      <c r="N42" s="185"/>
      <c r="O42" s="185"/>
      <c r="P42" s="185"/>
    </row>
    <row r="43" spans="1:16">
      <c r="A43" s="185"/>
      <c r="B43" s="2120"/>
      <c r="C43" s="2121"/>
      <c r="D43" s="2121"/>
      <c r="E43" s="2121"/>
      <c r="F43" s="2121"/>
      <c r="G43" s="2121"/>
      <c r="H43" s="2121"/>
      <c r="I43" s="2121"/>
      <c r="J43" s="2121"/>
      <c r="K43" s="2122"/>
      <c r="L43" s="185"/>
      <c r="M43" s="185"/>
      <c r="N43" s="185"/>
      <c r="O43" s="185"/>
      <c r="P43" s="185"/>
    </row>
    <row r="44" spans="1:16">
      <c r="A44" s="185"/>
      <c r="B44" s="2120"/>
      <c r="C44" s="2121"/>
      <c r="D44" s="2121"/>
      <c r="E44" s="2121"/>
      <c r="F44" s="2121"/>
      <c r="G44" s="2121"/>
      <c r="H44" s="2121"/>
      <c r="I44" s="2121"/>
      <c r="J44" s="2121"/>
      <c r="K44" s="2122"/>
      <c r="L44" s="185"/>
      <c r="M44" s="185"/>
      <c r="N44" s="185"/>
      <c r="O44" s="185"/>
      <c r="P44" s="185"/>
    </row>
    <row r="45" spans="1:16">
      <c r="A45" s="185"/>
      <c r="B45" s="2120"/>
      <c r="C45" s="2121"/>
      <c r="D45" s="2121"/>
      <c r="E45" s="2121"/>
      <c r="F45" s="2121"/>
      <c r="G45" s="2121"/>
      <c r="H45" s="2121"/>
      <c r="I45" s="2121"/>
      <c r="J45" s="2121"/>
      <c r="K45" s="2122"/>
      <c r="L45" s="185"/>
      <c r="M45" s="185"/>
      <c r="N45" s="185"/>
      <c r="O45" s="185"/>
      <c r="P45" s="185"/>
    </row>
    <row r="46" spans="1:16">
      <c r="A46" s="185"/>
      <c r="B46" s="2120"/>
      <c r="C46" s="2121"/>
      <c r="D46" s="2121"/>
      <c r="E46" s="2121"/>
      <c r="F46" s="2121"/>
      <c r="G46" s="2121"/>
      <c r="H46" s="2121"/>
      <c r="I46" s="2121"/>
      <c r="J46" s="2121"/>
      <c r="K46" s="2122"/>
      <c r="L46" s="185"/>
      <c r="M46" s="185"/>
      <c r="N46" s="185"/>
      <c r="O46" s="185"/>
      <c r="P46" s="185"/>
    </row>
    <row r="47" spans="1:16">
      <c r="A47" s="185"/>
      <c r="B47" s="2120"/>
      <c r="C47" s="2121"/>
      <c r="D47" s="2121"/>
      <c r="E47" s="2121"/>
      <c r="F47" s="2121"/>
      <c r="G47" s="2121"/>
      <c r="H47" s="2121"/>
      <c r="I47" s="2121"/>
      <c r="J47" s="2121"/>
      <c r="K47" s="2122"/>
      <c r="L47" s="185"/>
      <c r="M47" s="185"/>
      <c r="N47" s="185"/>
      <c r="O47" s="185"/>
      <c r="P47" s="185"/>
    </row>
    <row r="48" spans="1:16">
      <c r="A48" s="185"/>
      <c r="B48" s="2120"/>
      <c r="C48" s="2121"/>
      <c r="D48" s="2121"/>
      <c r="E48" s="2121"/>
      <c r="F48" s="2121"/>
      <c r="G48" s="2121"/>
      <c r="H48" s="2121"/>
      <c r="I48" s="2121"/>
      <c r="J48" s="2121"/>
      <c r="K48" s="2122"/>
      <c r="L48" s="185"/>
      <c r="M48" s="185"/>
      <c r="N48" s="185"/>
      <c r="O48" s="185"/>
      <c r="P48" s="185"/>
    </row>
    <row r="49" spans="1:16">
      <c r="A49" s="185"/>
      <c r="B49" s="2120"/>
      <c r="C49" s="2121"/>
      <c r="D49" s="2121"/>
      <c r="E49" s="2121"/>
      <c r="F49" s="2121"/>
      <c r="G49" s="2121"/>
      <c r="H49" s="2121"/>
      <c r="I49" s="2121"/>
      <c r="J49" s="2121"/>
      <c r="K49" s="2122"/>
      <c r="L49" s="185"/>
      <c r="M49" s="185"/>
      <c r="N49" s="185"/>
      <c r="O49" s="185"/>
      <c r="P49" s="185"/>
    </row>
    <row r="50" spans="1:16">
      <c r="A50" s="185"/>
      <c r="B50" s="2120"/>
      <c r="C50" s="2121"/>
      <c r="D50" s="2121"/>
      <c r="E50" s="2121"/>
      <c r="F50" s="2121"/>
      <c r="G50" s="2121"/>
      <c r="H50" s="2121"/>
      <c r="I50" s="2121"/>
      <c r="J50" s="2121"/>
      <c r="K50" s="2122"/>
      <c r="L50" s="185"/>
      <c r="M50" s="185"/>
      <c r="N50" s="185"/>
      <c r="O50" s="185"/>
      <c r="P50" s="185"/>
    </row>
    <row r="51" spans="1:16">
      <c r="A51" s="185"/>
      <c r="B51" s="2123"/>
      <c r="C51" s="2124"/>
      <c r="D51" s="2124"/>
      <c r="E51" s="2124"/>
      <c r="F51" s="2124"/>
      <c r="G51" s="2124"/>
      <c r="H51" s="2124"/>
      <c r="I51" s="2124"/>
      <c r="J51" s="2124"/>
      <c r="K51" s="2125"/>
      <c r="L51" s="185"/>
      <c r="M51" s="185"/>
      <c r="N51" s="185"/>
      <c r="O51" s="185"/>
      <c r="P51" s="185"/>
    </row>
    <row r="52" spans="1:16">
      <c r="A52" s="185"/>
      <c r="B52" s="185"/>
      <c r="C52" s="185"/>
      <c r="D52" s="185"/>
      <c r="E52" s="185"/>
      <c r="F52" s="185"/>
      <c r="G52" s="185"/>
      <c r="H52" s="185"/>
      <c r="I52" s="185"/>
      <c r="J52" s="185"/>
      <c r="K52" s="185"/>
      <c r="L52" s="185"/>
      <c r="M52" s="185"/>
      <c r="N52" s="185"/>
      <c r="O52" s="185"/>
      <c r="P52" s="185"/>
    </row>
    <row r="53" spans="1:16">
      <c r="A53" s="185"/>
      <c r="B53" s="185"/>
      <c r="C53" s="185"/>
      <c r="D53" s="185"/>
      <c r="E53" s="185"/>
      <c r="F53" s="185"/>
      <c r="G53" s="185"/>
      <c r="H53" s="185"/>
      <c r="I53" s="185"/>
      <c r="J53" s="185"/>
      <c r="K53" s="185"/>
      <c r="L53" s="185"/>
      <c r="M53" s="185"/>
      <c r="N53" s="185"/>
      <c r="O53" s="185"/>
      <c r="P53" s="185"/>
    </row>
    <row r="54" spans="1:16">
      <c r="A54" s="185"/>
      <c r="B54" s="185"/>
      <c r="C54" s="185"/>
      <c r="D54" s="185"/>
      <c r="E54" s="185"/>
      <c r="F54" s="185"/>
      <c r="G54" s="185"/>
      <c r="H54" s="185"/>
      <c r="I54" s="185"/>
      <c r="J54" s="185"/>
      <c r="K54" s="185"/>
      <c r="L54" s="185"/>
      <c r="M54" s="185"/>
      <c r="N54" s="185"/>
      <c r="O54" s="185"/>
      <c r="P54" s="185"/>
    </row>
    <row r="55" spans="1:16">
      <c r="A55" s="185"/>
      <c r="B55" s="185"/>
      <c r="C55" s="185"/>
      <c r="D55" s="185"/>
      <c r="E55" s="185"/>
      <c r="F55" s="185"/>
      <c r="G55" s="185"/>
      <c r="H55" s="185"/>
      <c r="I55" s="185"/>
      <c r="J55" s="185"/>
      <c r="K55" s="185"/>
      <c r="L55" s="185"/>
      <c r="M55" s="185"/>
      <c r="N55" s="185"/>
      <c r="O55" s="185"/>
      <c r="P55" s="185"/>
    </row>
    <row r="56" spans="1:16">
      <c r="A56" s="185"/>
      <c r="B56" s="185"/>
      <c r="C56" s="185"/>
      <c r="D56" s="185"/>
      <c r="E56" s="185"/>
      <c r="F56" s="185"/>
      <c r="G56" s="185"/>
      <c r="H56" s="185"/>
      <c r="I56" s="185"/>
      <c r="J56" s="185"/>
      <c r="K56" s="185"/>
      <c r="L56" s="185"/>
      <c r="M56" s="185"/>
      <c r="N56" s="185"/>
      <c r="O56" s="185"/>
      <c r="P56" s="185"/>
    </row>
    <row r="57" spans="1:16">
      <c r="A57" s="185"/>
      <c r="B57" s="185"/>
      <c r="C57" s="185"/>
      <c r="D57" s="185"/>
      <c r="E57" s="185"/>
      <c r="F57" s="185"/>
      <c r="G57" s="185"/>
      <c r="H57" s="185"/>
      <c r="I57" s="185"/>
      <c r="J57" s="185"/>
      <c r="K57" s="185"/>
      <c r="L57" s="185"/>
      <c r="M57" s="185"/>
      <c r="N57" s="185"/>
      <c r="O57" s="185"/>
      <c r="P57" s="185"/>
    </row>
    <row r="58" spans="1:16">
      <c r="A58" s="185"/>
      <c r="B58" s="185"/>
      <c r="C58" s="185"/>
      <c r="D58" s="185"/>
      <c r="E58" s="185"/>
      <c r="F58" s="185"/>
      <c r="G58" s="185"/>
      <c r="H58" s="185"/>
      <c r="I58" s="185"/>
      <c r="J58" s="185"/>
      <c r="K58" s="185"/>
      <c r="L58" s="185"/>
      <c r="M58" s="185"/>
      <c r="N58" s="185"/>
      <c r="O58" s="185"/>
      <c r="P58" s="185"/>
    </row>
    <row r="59" spans="1:16">
      <c r="A59" s="185"/>
      <c r="B59" s="185"/>
      <c r="C59" s="185"/>
      <c r="D59" s="185"/>
      <c r="E59" s="185"/>
      <c r="F59" s="185"/>
      <c r="G59" s="185"/>
      <c r="H59" s="185"/>
      <c r="I59" s="185"/>
      <c r="J59" s="185"/>
      <c r="K59" s="185"/>
      <c r="L59" s="185"/>
      <c r="M59" s="185"/>
      <c r="N59" s="185"/>
      <c r="O59" s="185"/>
      <c r="P59" s="185"/>
    </row>
    <row r="60" spans="1:16">
      <c r="A60" s="185"/>
      <c r="B60" s="185"/>
      <c r="C60" s="185"/>
      <c r="D60" s="185"/>
      <c r="E60" s="185"/>
      <c r="F60" s="185"/>
      <c r="G60" s="185"/>
      <c r="H60" s="185"/>
      <c r="I60" s="185"/>
      <c r="J60" s="185"/>
      <c r="K60" s="185"/>
      <c r="L60" s="185"/>
      <c r="M60" s="185"/>
      <c r="N60" s="185"/>
      <c r="O60" s="185"/>
      <c r="P60" s="185"/>
    </row>
    <row r="61" spans="1:16">
      <c r="A61" s="185"/>
      <c r="B61" s="185"/>
      <c r="C61" s="185"/>
      <c r="D61" s="185"/>
      <c r="E61" s="185"/>
      <c r="F61" s="185"/>
      <c r="G61" s="185"/>
      <c r="H61" s="185"/>
      <c r="I61" s="185"/>
      <c r="J61" s="185"/>
      <c r="K61" s="185"/>
      <c r="L61" s="185"/>
      <c r="M61" s="185"/>
      <c r="N61" s="185"/>
      <c r="O61" s="185"/>
      <c r="P61" s="185"/>
    </row>
    <row r="62" spans="1:16">
      <c r="A62" s="185"/>
      <c r="B62" s="185"/>
      <c r="C62" s="185"/>
      <c r="D62" s="185"/>
      <c r="E62" s="185"/>
      <c r="F62" s="185"/>
      <c r="G62" s="185"/>
      <c r="H62" s="185"/>
      <c r="I62" s="185"/>
      <c r="J62" s="185"/>
      <c r="K62" s="185"/>
      <c r="L62" s="185"/>
      <c r="M62" s="185"/>
      <c r="N62" s="185"/>
      <c r="O62" s="185"/>
      <c r="P62" s="185"/>
    </row>
    <row r="63" spans="1:16">
      <c r="A63" s="185"/>
      <c r="B63" s="185"/>
      <c r="C63" s="185"/>
      <c r="D63" s="185"/>
      <c r="E63" s="185"/>
      <c r="F63" s="185"/>
      <c r="G63" s="185"/>
      <c r="H63" s="185"/>
      <c r="I63" s="185"/>
      <c r="J63" s="185"/>
      <c r="K63" s="185"/>
      <c r="L63" s="185"/>
      <c r="M63" s="185"/>
      <c r="N63" s="185"/>
      <c r="O63" s="185"/>
      <c r="P63" s="185"/>
    </row>
    <row r="64" spans="1:16">
      <c r="A64" s="185"/>
      <c r="B64" s="185"/>
      <c r="C64" s="185"/>
      <c r="D64" s="185"/>
      <c r="E64" s="185"/>
      <c r="F64" s="185"/>
      <c r="G64" s="185"/>
      <c r="H64" s="185"/>
      <c r="I64" s="185"/>
      <c r="J64" s="185"/>
      <c r="K64" s="185"/>
      <c r="L64" s="185"/>
      <c r="M64" s="185"/>
      <c r="N64" s="185"/>
      <c r="O64" s="185"/>
      <c r="P64" s="185"/>
    </row>
    <row r="65" spans="1:16">
      <c r="A65" s="185"/>
      <c r="B65" s="185"/>
      <c r="C65" s="185"/>
      <c r="D65" s="185"/>
      <c r="E65" s="185"/>
      <c r="F65" s="185"/>
      <c r="G65" s="185"/>
      <c r="H65" s="185"/>
      <c r="I65" s="185"/>
      <c r="J65" s="185"/>
      <c r="K65" s="185"/>
      <c r="L65" s="185"/>
      <c r="M65" s="185"/>
      <c r="N65" s="185"/>
      <c r="O65" s="185"/>
      <c r="P65" s="185"/>
    </row>
    <row r="66" spans="1:16">
      <c r="A66" s="185"/>
      <c r="B66" s="185"/>
      <c r="C66" s="185"/>
      <c r="D66" s="185"/>
      <c r="E66" s="185"/>
      <c r="F66" s="185"/>
      <c r="G66" s="185"/>
      <c r="H66" s="185"/>
      <c r="I66" s="185"/>
      <c r="J66" s="185"/>
      <c r="K66" s="185"/>
      <c r="L66" s="185"/>
      <c r="M66" s="185"/>
      <c r="N66" s="185"/>
      <c r="O66" s="185"/>
      <c r="P66" s="185"/>
    </row>
    <row r="67" spans="1:16">
      <c r="A67" s="185"/>
      <c r="B67" s="185"/>
      <c r="C67" s="185"/>
      <c r="D67" s="185"/>
      <c r="E67" s="185"/>
      <c r="F67" s="185"/>
      <c r="G67" s="185"/>
      <c r="H67" s="185"/>
      <c r="I67" s="185"/>
      <c r="J67" s="185"/>
      <c r="K67" s="185"/>
      <c r="L67" s="185"/>
      <c r="M67" s="185"/>
      <c r="N67" s="185"/>
      <c r="O67" s="185"/>
      <c r="P67" s="185"/>
    </row>
    <row r="68" spans="1:16">
      <c r="A68" s="185"/>
      <c r="B68" s="185"/>
      <c r="C68" s="185"/>
      <c r="D68" s="185"/>
      <c r="E68" s="185"/>
      <c r="F68" s="185"/>
      <c r="G68" s="185"/>
      <c r="H68" s="185"/>
      <c r="I68" s="185"/>
      <c r="J68" s="185"/>
      <c r="K68" s="185"/>
      <c r="L68" s="185"/>
      <c r="M68" s="185"/>
      <c r="N68" s="185"/>
      <c r="O68" s="185"/>
      <c r="P68" s="185"/>
    </row>
    <row r="69" spans="1:16">
      <c r="A69" s="185"/>
      <c r="B69" s="185"/>
      <c r="C69" s="185"/>
      <c r="D69" s="185"/>
      <c r="E69" s="185"/>
      <c r="F69" s="185"/>
      <c r="G69" s="185"/>
      <c r="H69" s="185"/>
      <c r="I69" s="185"/>
      <c r="J69" s="185"/>
      <c r="K69" s="185"/>
      <c r="L69" s="185"/>
      <c r="M69" s="185"/>
      <c r="N69" s="185"/>
      <c r="O69" s="185"/>
      <c r="P69" s="185"/>
    </row>
    <row r="70" spans="1:16">
      <c r="A70" s="185"/>
      <c r="B70" s="185"/>
      <c r="C70" s="185"/>
      <c r="D70" s="185"/>
      <c r="E70" s="185"/>
      <c r="F70" s="185"/>
      <c r="G70" s="185"/>
      <c r="H70" s="185"/>
      <c r="I70" s="185"/>
      <c r="J70" s="185"/>
      <c r="K70" s="185"/>
      <c r="L70" s="185"/>
      <c r="M70" s="185"/>
      <c r="N70" s="185"/>
      <c r="O70" s="185"/>
      <c r="P70" s="185"/>
    </row>
    <row r="71" spans="1:16">
      <c r="A71" s="185"/>
      <c r="B71" s="185"/>
      <c r="C71" s="185"/>
      <c r="D71" s="185"/>
      <c r="E71" s="185"/>
      <c r="F71" s="185"/>
      <c r="G71" s="185"/>
      <c r="H71" s="185"/>
      <c r="I71" s="185"/>
      <c r="J71" s="185"/>
      <c r="K71" s="185"/>
      <c r="L71" s="185"/>
      <c r="M71" s="185"/>
      <c r="N71" s="185"/>
      <c r="O71" s="185"/>
      <c r="P71" s="185"/>
    </row>
    <row r="72" spans="1:16">
      <c r="A72" s="185"/>
      <c r="B72" s="185"/>
      <c r="C72" s="185"/>
      <c r="D72" s="185"/>
      <c r="E72" s="185"/>
      <c r="F72" s="185"/>
      <c r="G72" s="185"/>
      <c r="H72" s="185"/>
      <c r="I72" s="185"/>
      <c r="J72" s="185"/>
      <c r="K72" s="185"/>
      <c r="L72" s="185"/>
      <c r="M72" s="185"/>
      <c r="N72" s="185"/>
      <c r="O72" s="185"/>
      <c r="P72" s="185"/>
    </row>
    <row r="73" spans="1:16">
      <c r="A73" s="185"/>
      <c r="B73" s="185"/>
      <c r="C73" s="185"/>
      <c r="D73" s="185"/>
      <c r="E73" s="185"/>
      <c r="F73" s="185"/>
      <c r="G73" s="185"/>
      <c r="H73" s="185"/>
      <c r="I73" s="185"/>
      <c r="J73" s="185"/>
      <c r="K73" s="185"/>
      <c r="L73" s="185"/>
      <c r="M73" s="185"/>
      <c r="N73" s="185"/>
      <c r="O73" s="185"/>
      <c r="P73" s="185"/>
    </row>
    <row r="74" spans="1:16">
      <c r="A74" s="185"/>
      <c r="B74" s="185"/>
      <c r="C74" s="185"/>
      <c r="D74" s="185"/>
      <c r="E74" s="185"/>
      <c r="F74" s="185"/>
      <c r="G74" s="185"/>
      <c r="H74" s="185"/>
      <c r="I74" s="185"/>
      <c r="J74" s="185"/>
      <c r="K74" s="185"/>
      <c r="L74" s="185"/>
      <c r="M74" s="185"/>
      <c r="N74" s="185"/>
      <c r="O74" s="185"/>
      <c r="P74" s="185"/>
    </row>
    <row r="75" spans="1:16">
      <c r="A75" s="185"/>
      <c r="B75" s="185"/>
      <c r="C75" s="185"/>
      <c r="D75" s="185"/>
      <c r="E75" s="185"/>
      <c r="F75" s="185"/>
      <c r="G75" s="185"/>
      <c r="H75" s="185"/>
      <c r="I75" s="185"/>
      <c r="J75" s="185"/>
      <c r="K75" s="185"/>
      <c r="L75" s="185"/>
      <c r="M75" s="185"/>
      <c r="N75" s="185"/>
      <c r="O75" s="185"/>
      <c r="P75" s="185"/>
    </row>
    <row r="76" spans="1:16">
      <c r="A76" s="185"/>
      <c r="B76" s="185"/>
      <c r="C76" s="185"/>
      <c r="D76" s="185"/>
      <c r="E76" s="185"/>
      <c r="F76" s="185"/>
      <c r="G76" s="185"/>
      <c r="H76" s="185"/>
      <c r="I76" s="185"/>
      <c r="J76" s="185"/>
      <c r="K76" s="185"/>
      <c r="L76" s="185"/>
      <c r="M76" s="185"/>
      <c r="N76" s="185"/>
      <c r="O76" s="185"/>
      <c r="P76" s="185"/>
    </row>
    <row r="77" spans="1:16">
      <c r="A77" s="185"/>
      <c r="B77" s="185"/>
      <c r="C77" s="185"/>
      <c r="D77" s="185"/>
      <c r="E77" s="185"/>
      <c r="F77" s="185"/>
      <c r="G77" s="185"/>
      <c r="H77" s="185"/>
      <c r="I77" s="185"/>
      <c r="J77" s="185"/>
      <c r="K77" s="185"/>
      <c r="L77" s="185"/>
      <c r="M77" s="185"/>
      <c r="N77" s="185"/>
      <c r="O77" s="185"/>
      <c r="P77" s="185"/>
    </row>
    <row r="78" spans="1:16">
      <c r="A78" s="185"/>
      <c r="B78" s="185"/>
      <c r="C78" s="185"/>
      <c r="D78" s="185"/>
      <c r="E78" s="185"/>
      <c r="F78" s="185"/>
      <c r="G78" s="185"/>
      <c r="H78" s="185"/>
      <c r="I78" s="185"/>
      <c r="J78" s="185"/>
      <c r="K78" s="185"/>
      <c r="L78" s="185"/>
      <c r="M78" s="185"/>
      <c r="N78" s="185"/>
      <c r="O78" s="185"/>
      <c r="P78" s="185"/>
    </row>
    <row r="79" spans="1:16">
      <c r="A79" s="185"/>
      <c r="B79" s="185"/>
      <c r="C79" s="185"/>
      <c r="D79" s="185"/>
      <c r="E79" s="185"/>
      <c r="F79" s="185"/>
      <c r="G79" s="185"/>
      <c r="H79" s="185"/>
      <c r="I79" s="185"/>
      <c r="J79" s="185"/>
      <c r="K79" s="185"/>
      <c r="L79" s="185"/>
      <c r="M79" s="185"/>
      <c r="N79" s="185"/>
      <c r="O79" s="185"/>
      <c r="P79" s="185"/>
    </row>
    <row r="80" spans="1:16">
      <c r="A80" s="185"/>
      <c r="B80" s="185"/>
      <c r="C80" s="185"/>
      <c r="D80" s="185"/>
      <c r="E80" s="185"/>
      <c r="F80" s="185"/>
      <c r="G80" s="185"/>
      <c r="H80" s="185"/>
      <c r="I80" s="185"/>
      <c r="J80" s="185"/>
      <c r="K80" s="185"/>
      <c r="L80" s="185"/>
      <c r="M80" s="185"/>
      <c r="N80" s="185"/>
      <c r="O80" s="185"/>
      <c r="P80" s="185"/>
    </row>
    <row r="81" spans="1:16">
      <c r="A81" s="185"/>
      <c r="B81" s="185"/>
      <c r="C81" s="185"/>
      <c r="D81" s="185"/>
      <c r="E81" s="185"/>
      <c r="F81" s="185"/>
      <c r="G81" s="185"/>
      <c r="H81" s="185"/>
      <c r="I81" s="185"/>
      <c r="J81" s="185"/>
      <c r="K81" s="185"/>
      <c r="L81" s="185"/>
      <c r="M81" s="185"/>
      <c r="N81" s="185"/>
      <c r="O81" s="185"/>
      <c r="P81" s="185"/>
    </row>
    <row r="82" spans="1:16">
      <c r="A82" s="185"/>
      <c r="B82" s="185"/>
      <c r="C82" s="185"/>
      <c r="D82" s="185"/>
      <c r="E82" s="185"/>
      <c r="F82" s="185"/>
      <c r="G82" s="185"/>
      <c r="H82" s="185"/>
      <c r="I82" s="185"/>
      <c r="J82" s="185"/>
      <c r="K82" s="185"/>
      <c r="L82" s="185"/>
      <c r="M82" s="185"/>
      <c r="N82" s="185"/>
      <c r="O82" s="185"/>
      <c r="P82" s="185"/>
    </row>
    <row r="83" spans="1:16">
      <c r="A83" s="185"/>
      <c r="B83" s="185"/>
      <c r="C83" s="185"/>
      <c r="D83" s="185"/>
      <c r="E83" s="185"/>
      <c r="F83" s="185"/>
      <c r="G83" s="185"/>
      <c r="H83" s="185"/>
      <c r="I83" s="185"/>
      <c r="J83" s="185"/>
      <c r="K83" s="185"/>
      <c r="L83" s="185"/>
      <c r="M83" s="185"/>
      <c r="N83" s="185"/>
      <c r="O83" s="185"/>
      <c r="P83" s="185"/>
    </row>
    <row r="84" spans="1:16">
      <c r="A84" s="185"/>
      <c r="B84" s="185"/>
      <c r="C84" s="185"/>
      <c r="D84" s="185"/>
      <c r="E84" s="185"/>
      <c r="F84" s="185"/>
      <c r="G84" s="185"/>
      <c r="H84" s="185"/>
      <c r="I84" s="185"/>
      <c r="J84" s="185"/>
      <c r="K84" s="185"/>
      <c r="L84" s="185"/>
      <c r="M84" s="185"/>
      <c r="N84" s="185"/>
      <c r="O84" s="185"/>
      <c r="P84" s="185"/>
    </row>
    <row r="85" spans="1:16">
      <c r="A85" s="185"/>
      <c r="B85" s="185"/>
      <c r="C85" s="185"/>
      <c r="D85" s="185"/>
      <c r="E85" s="185"/>
      <c r="F85" s="185"/>
      <c r="G85" s="185"/>
      <c r="H85" s="185"/>
      <c r="I85" s="185"/>
      <c r="J85" s="185"/>
      <c r="K85" s="185"/>
      <c r="L85" s="185"/>
      <c r="M85" s="185"/>
      <c r="N85" s="185"/>
      <c r="O85" s="185"/>
      <c r="P85" s="185"/>
    </row>
    <row r="86" spans="1:16">
      <c r="A86" s="185"/>
      <c r="B86" s="185"/>
      <c r="C86" s="185"/>
      <c r="D86" s="185"/>
      <c r="E86" s="185"/>
      <c r="F86" s="185"/>
      <c r="G86" s="185"/>
      <c r="H86" s="185"/>
      <c r="I86" s="185"/>
      <c r="J86" s="185"/>
      <c r="K86" s="185"/>
      <c r="L86" s="185"/>
      <c r="M86" s="185"/>
      <c r="N86" s="185"/>
      <c r="O86" s="185"/>
      <c r="P86" s="185"/>
    </row>
    <row r="87" spans="1:16">
      <c r="A87" s="185"/>
      <c r="B87" s="185"/>
      <c r="C87" s="185"/>
      <c r="D87" s="185"/>
      <c r="E87" s="185"/>
      <c r="F87" s="185"/>
      <c r="G87" s="185"/>
      <c r="H87" s="185"/>
      <c r="I87" s="185"/>
      <c r="J87" s="185"/>
      <c r="K87" s="185"/>
      <c r="L87" s="185"/>
      <c r="M87" s="185"/>
      <c r="N87" s="185"/>
      <c r="O87" s="185"/>
      <c r="P87" s="185"/>
    </row>
    <row r="88" spans="1:16">
      <c r="A88" s="185"/>
      <c r="B88" s="185"/>
      <c r="C88" s="185"/>
      <c r="D88" s="185"/>
      <c r="E88" s="185"/>
      <c r="F88" s="185"/>
      <c r="G88" s="185"/>
      <c r="H88" s="185"/>
      <c r="I88" s="185"/>
      <c r="J88" s="185"/>
      <c r="K88" s="185"/>
      <c r="L88" s="185"/>
      <c r="M88" s="185"/>
      <c r="N88" s="185"/>
      <c r="O88" s="185"/>
      <c r="P88" s="185"/>
    </row>
    <row r="89" spans="1:16">
      <c r="A89" s="185"/>
      <c r="B89" s="185"/>
      <c r="C89" s="185"/>
      <c r="D89" s="185"/>
      <c r="E89" s="185"/>
      <c r="F89" s="185"/>
      <c r="G89" s="185"/>
      <c r="H89" s="185"/>
      <c r="I89" s="185"/>
      <c r="J89" s="185"/>
      <c r="K89" s="185"/>
      <c r="L89" s="185"/>
      <c r="M89" s="185"/>
      <c r="N89" s="185"/>
      <c r="O89" s="185"/>
      <c r="P89" s="185"/>
    </row>
    <row r="90" spans="1:16">
      <c r="A90" s="185"/>
      <c r="B90" s="185"/>
      <c r="C90" s="185"/>
      <c r="D90" s="185"/>
      <c r="E90" s="185"/>
      <c r="F90" s="185"/>
      <c r="G90" s="185"/>
      <c r="H90" s="185"/>
      <c r="I90" s="185"/>
      <c r="J90" s="185"/>
      <c r="K90" s="185"/>
      <c r="L90" s="185"/>
      <c r="M90" s="185"/>
      <c r="N90" s="185"/>
      <c r="O90" s="185"/>
      <c r="P90" s="185"/>
    </row>
    <row r="91" spans="1:16">
      <c r="A91" s="185"/>
      <c r="B91" s="185"/>
      <c r="C91" s="185"/>
      <c r="D91" s="185"/>
      <c r="E91" s="185"/>
      <c r="F91" s="185"/>
      <c r="G91" s="185"/>
      <c r="H91" s="185"/>
      <c r="I91" s="185"/>
      <c r="J91" s="185"/>
      <c r="K91" s="185"/>
      <c r="L91" s="185"/>
      <c r="M91" s="185"/>
      <c r="N91" s="185"/>
      <c r="O91" s="185"/>
      <c r="P91" s="185"/>
    </row>
    <row r="92" spans="1:16">
      <c r="A92" s="185"/>
      <c r="B92" s="185"/>
      <c r="C92" s="185"/>
      <c r="D92" s="185"/>
      <c r="E92" s="185"/>
      <c r="F92" s="185"/>
      <c r="G92" s="185"/>
      <c r="H92" s="185"/>
      <c r="I92" s="185"/>
      <c r="J92" s="185"/>
      <c r="K92" s="185"/>
      <c r="L92" s="185"/>
      <c r="M92" s="185"/>
      <c r="N92" s="185"/>
      <c r="O92" s="185"/>
      <c r="P92" s="185"/>
    </row>
    <row r="93" spans="1:16">
      <c r="A93" s="185"/>
      <c r="B93" s="185"/>
      <c r="C93" s="185"/>
      <c r="D93" s="185"/>
      <c r="E93" s="185"/>
      <c r="F93" s="185"/>
      <c r="G93" s="185"/>
      <c r="H93" s="185"/>
      <c r="I93" s="185"/>
      <c r="J93" s="185"/>
      <c r="K93" s="185"/>
      <c r="L93" s="185"/>
      <c r="M93" s="185"/>
      <c r="N93" s="185"/>
      <c r="O93" s="185"/>
      <c r="P93" s="185"/>
    </row>
    <row r="94" spans="1:16">
      <c r="A94" s="185"/>
      <c r="B94" s="185"/>
      <c r="C94" s="185"/>
      <c r="D94" s="185"/>
      <c r="E94" s="185"/>
      <c r="F94" s="185"/>
      <c r="G94" s="185"/>
      <c r="H94" s="185"/>
      <c r="I94" s="185"/>
      <c r="J94" s="185"/>
      <c r="K94" s="185"/>
      <c r="L94" s="185"/>
      <c r="M94" s="185"/>
      <c r="N94" s="185"/>
      <c r="O94" s="185"/>
      <c r="P94" s="185"/>
    </row>
    <row r="95" spans="1:16">
      <c r="A95" s="185"/>
      <c r="B95" s="185"/>
      <c r="C95" s="185"/>
      <c r="D95" s="185"/>
      <c r="E95" s="185"/>
      <c r="F95" s="185"/>
      <c r="G95" s="185"/>
      <c r="H95" s="185"/>
      <c r="I95" s="185"/>
      <c r="J95" s="185"/>
      <c r="K95" s="185"/>
      <c r="L95" s="185"/>
      <c r="M95" s="185"/>
      <c r="N95" s="185"/>
      <c r="O95" s="185"/>
      <c r="P95" s="185"/>
    </row>
    <row r="96" spans="1:16">
      <c r="A96" s="185"/>
      <c r="B96" s="185"/>
      <c r="C96" s="185"/>
      <c r="D96" s="185"/>
      <c r="E96" s="185"/>
      <c r="F96" s="185"/>
      <c r="G96" s="185"/>
      <c r="H96" s="185"/>
      <c r="I96" s="185"/>
      <c r="J96" s="185"/>
      <c r="K96" s="185"/>
      <c r="L96" s="185"/>
      <c r="M96" s="185"/>
      <c r="N96" s="185"/>
      <c r="O96" s="185"/>
      <c r="P96" s="185"/>
    </row>
    <row r="97" spans="1:16">
      <c r="A97" s="185"/>
      <c r="B97" s="185"/>
      <c r="C97" s="185"/>
      <c r="D97" s="185"/>
      <c r="E97" s="185"/>
      <c r="F97" s="185"/>
      <c r="G97" s="185"/>
      <c r="H97" s="185"/>
      <c r="I97" s="185"/>
      <c r="J97" s="185"/>
      <c r="K97" s="185"/>
      <c r="L97" s="185"/>
      <c r="M97" s="185"/>
      <c r="N97" s="185"/>
      <c r="O97" s="185"/>
      <c r="P97" s="185"/>
    </row>
    <row r="98" spans="1:16">
      <c r="A98" s="185"/>
      <c r="B98" s="185"/>
      <c r="C98" s="185"/>
      <c r="D98" s="185"/>
      <c r="E98" s="185"/>
      <c r="F98" s="185"/>
      <c r="G98" s="185"/>
      <c r="H98" s="185"/>
      <c r="I98" s="185"/>
      <c r="J98" s="185"/>
      <c r="K98" s="185"/>
      <c r="L98" s="185"/>
      <c r="M98" s="185"/>
      <c r="N98" s="185"/>
      <c r="O98" s="185"/>
      <c r="P98" s="185"/>
    </row>
    <row r="99" spans="1:16">
      <c r="A99" s="185"/>
      <c r="B99" s="185"/>
      <c r="C99" s="185"/>
      <c r="D99" s="185"/>
      <c r="E99" s="185"/>
      <c r="F99" s="185"/>
      <c r="G99" s="185"/>
      <c r="H99" s="185"/>
      <c r="I99" s="185"/>
      <c r="J99" s="185"/>
      <c r="K99" s="185"/>
      <c r="L99" s="185"/>
      <c r="M99" s="185"/>
      <c r="N99" s="185"/>
      <c r="O99" s="185"/>
      <c r="P99" s="185"/>
    </row>
    <row r="100" spans="1:16">
      <c r="A100" s="185"/>
      <c r="B100" s="185"/>
      <c r="C100" s="185"/>
      <c r="D100" s="185"/>
      <c r="E100" s="185"/>
      <c r="F100" s="185"/>
      <c r="G100" s="185"/>
      <c r="H100" s="185"/>
      <c r="I100" s="185"/>
      <c r="J100" s="185"/>
      <c r="K100" s="185"/>
      <c r="L100" s="185"/>
      <c r="M100" s="185"/>
      <c r="N100" s="185"/>
      <c r="O100" s="185"/>
      <c r="P100" s="185"/>
    </row>
    <row r="101" spans="1:16">
      <c r="A101" s="185"/>
      <c r="B101" s="185"/>
      <c r="C101" s="185"/>
      <c r="D101" s="185"/>
      <c r="E101" s="185"/>
      <c r="F101" s="185"/>
      <c r="G101" s="185"/>
      <c r="H101" s="185"/>
      <c r="I101" s="185"/>
      <c r="J101" s="185"/>
      <c r="K101" s="185"/>
      <c r="L101" s="185"/>
      <c r="M101" s="185"/>
      <c r="N101" s="185"/>
      <c r="O101" s="185"/>
      <c r="P101" s="185"/>
    </row>
    <row r="102" spans="1:16">
      <c r="A102" s="185"/>
      <c r="B102" s="185"/>
      <c r="C102" s="185"/>
      <c r="D102" s="185"/>
      <c r="E102" s="185"/>
      <c r="F102" s="185"/>
      <c r="G102" s="185"/>
      <c r="H102" s="185"/>
      <c r="I102" s="185"/>
      <c r="J102" s="185"/>
      <c r="K102" s="185"/>
      <c r="L102" s="185"/>
      <c r="M102" s="185"/>
      <c r="N102" s="185"/>
      <c r="O102" s="185"/>
      <c r="P102" s="185"/>
    </row>
    <row r="103" spans="1:16">
      <c r="A103" s="185"/>
      <c r="B103" s="185"/>
      <c r="C103" s="185"/>
      <c r="D103" s="185"/>
      <c r="E103" s="185"/>
      <c r="F103" s="185"/>
      <c r="G103" s="185"/>
      <c r="H103" s="185"/>
      <c r="I103" s="185"/>
      <c r="J103" s="185"/>
      <c r="K103" s="185"/>
      <c r="L103" s="185"/>
      <c r="M103" s="185"/>
      <c r="N103" s="185"/>
      <c r="O103" s="185"/>
      <c r="P103" s="185"/>
    </row>
    <row r="104" spans="1:16">
      <c r="A104" s="185"/>
      <c r="B104" s="185"/>
      <c r="C104" s="185"/>
      <c r="D104" s="185"/>
      <c r="E104" s="185"/>
      <c r="F104" s="185"/>
      <c r="G104" s="185"/>
      <c r="H104" s="185"/>
      <c r="I104" s="185"/>
      <c r="J104" s="185"/>
      <c r="K104" s="185"/>
      <c r="L104" s="185"/>
      <c r="M104" s="185"/>
      <c r="N104" s="185"/>
      <c r="O104" s="185"/>
      <c r="P104" s="185"/>
    </row>
    <row r="105" spans="1:16">
      <c r="A105" s="185"/>
      <c r="B105" s="185"/>
      <c r="C105" s="185"/>
      <c r="D105" s="185"/>
      <c r="E105" s="185"/>
      <c r="F105" s="185"/>
      <c r="G105" s="185"/>
      <c r="H105" s="185"/>
      <c r="I105" s="185"/>
      <c r="J105" s="185"/>
      <c r="K105" s="185"/>
      <c r="L105" s="185"/>
      <c r="M105" s="185"/>
      <c r="N105" s="185"/>
      <c r="O105" s="185"/>
      <c r="P105" s="185"/>
    </row>
    <row r="106" spans="1:16">
      <c r="A106" s="185"/>
      <c r="B106" s="185"/>
      <c r="C106" s="185"/>
      <c r="D106" s="185"/>
      <c r="E106" s="185"/>
      <c r="F106" s="185"/>
      <c r="G106" s="185"/>
      <c r="H106" s="185"/>
      <c r="I106" s="185"/>
      <c r="J106" s="185"/>
      <c r="K106" s="185"/>
      <c r="L106" s="185"/>
      <c r="M106" s="185"/>
      <c r="N106" s="185"/>
      <c r="O106" s="185"/>
      <c r="P106" s="185"/>
    </row>
    <row r="107" spans="1:16">
      <c r="A107" s="185"/>
      <c r="B107" s="185"/>
      <c r="C107" s="185"/>
      <c r="D107" s="185"/>
      <c r="E107" s="185"/>
      <c r="F107" s="185"/>
      <c r="G107" s="185"/>
      <c r="H107" s="185"/>
      <c r="I107" s="185"/>
      <c r="J107" s="185"/>
      <c r="K107" s="185"/>
      <c r="L107" s="185"/>
      <c r="M107" s="185"/>
      <c r="N107" s="185"/>
      <c r="O107" s="185"/>
      <c r="P107" s="185"/>
    </row>
    <row r="108" spans="1:16">
      <c r="A108" s="185"/>
      <c r="B108" s="185"/>
      <c r="C108" s="185"/>
      <c r="D108" s="185"/>
      <c r="E108" s="185"/>
      <c r="F108" s="185"/>
      <c r="G108" s="185"/>
      <c r="H108" s="185"/>
      <c r="I108" s="185"/>
      <c r="J108" s="185"/>
      <c r="K108" s="185"/>
      <c r="L108" s="185"/>
      <c r="M108" s="185"/>
      <c r="N108" s="185"/>
      <c r="O108" s="185"/>
      <c r="P108" s="185"/>
    </row>
    <row r="109" spans="1:16">
      <c r="A109" s="185"/>
      <c r="B109" s="185"/>
      <c r="C109" s="185"/>
      <c r="D109" s="185"/>
      <c r="E109" s="185"/>
      <c r="F109" s="185"/>
      <c r="G109" s="185"/>
      <c r="H109" s="185"/>
      <c r="I109" s="185"/>
      <c r="J109" s="185"/>
      <c r="K109" s="185"/>
      <c r="L109" s="185"/>
      <c r="M109" s="185"/>
      <c r="N109" s="185"/>
      <c r="O109" s="185"/>
      <c r="P109" s="185"/>
    </row>
    <row r="110" spans="1:16">
      <c r="A110" s="185"/>
      <c r="B110" s="185"/>
      <c r="C110" s="185"/>
      <c r="D110" s="185"/>
      <c r="E110" s="185"/>
      <c r="F110" s="185"/>
      <c r="G110" s="185"/>
      <c r="H110" s="185"/>
      <c r="I110" s="185"/>
      <c r="J110" s="185"/>
      <c r="K110" s="185"/>
      <c r="L110" s="185"/>
      <c r="M110" s="185"/>
      <c r="N110" s="185"/>
      <c r="O110" s="185"/>
      <c r="P110" s="185"/>
    </row>
    <row r="111" spans="1:16">
      <c r="A111" s="185"/>
      <c r="B111" s="185"/>
      <c r="C111" s="185"/>
      <c r="D111" s="185"/>
      <c r="E111" s="185"/>
      <c r="F111" s="185"/>
      <c r="G111" s="185"/>
      <c r="H111" s="185"/>
      <c r="I111" s="185"/>
      <c r="J111" s="185"/>
      <c r="K111" s="185"/>
      <c r="L111" s="185"/>
      <c r="M111" s="185"/>
      <c r="N111" s="185"/>
      <c r="O111" s="185"/>
      <c r="P111" s="185"/>
    </row>
    <row r="112" spans="1:16">
      <c r="A112" s="185"/>
      <c r="B112" s="185"/>
      <c r="C112" s="185"/>
      <c r="D112" s="185"/>
      <c r="E112" s="185"/>
      <c r="F112" s="185"/>
      <c r="G112" s="185"/>
      <c r="H112" s="185"/>
      <c r="I112" s="185"/>
      <c r="J112" s="185"/>
      <c r="K112" s="185"/>
      <c r="L112" s="185"/>
      <c r="M112" s="185"/>
      <c r="N112" s="185"/>
      <c r="O112" s="185"/>
      <c r="P112" s="185"/>
    </row>
    <row r="113" spans="1:16">
      <c r="A113" s="185"/>
      <c r="B113" s="185"/>
      <c r="C113" s="185"/>
      <c r="D113" s="185"/>
      <c r="E113" s="185"/>
      <c r="F113" s="185"/>
      <c r="G113" s="185"/>
      <c r="H113" s="185"/>
      <c r="I113" s="185"/>
      <c r="J113" s="185"/>
      <c r="K113" s="185"/>
      <c r="L113" s="185"/>
      <c r="M113" s="185"/>
      <c r="N113" s="185"/>
      <c r="O113" s="185"/>
      <c r="P113" s="185"/>
    </row>
    <row r="114" spans="1:16">
      <c r="A114" s="185"/>
      <c r="B114" s="185"/>
      <c r="C114" s="185"/>
      <c r="D114" s="185"/>
      <c r="E114" s="185"/>
      <c r="F114" s="185"/>
      <c r="G114" s="185"/>
      <c r="H114" s="185"/>
      <c r="I114" s="185"/>
      <c r="J114" s="185"/>
      <c r="K114" s="185"/>
      <c r="L114" s="185"/>
      <c r="M114" s="185"/>
      <c r="N114" s="185"/>
      <c r="O114" s="185"/>
      <c r="P114" s="185"/>
    </row>
    <row r="115" spans="1:16">
      <c r="A115" s="185"/>
      <c r="B115" s="185"/>
      <c r="C115" s="185"/>
      <c r="D115" s="185"/>
      <c r="E115" s="185"/>
      <c r="F115" s="185"/>
      <c r="G115" s="185"/>
      <c r="H115" s="185"/>
      <c r="I115" s="185"/>
      <c r="J115" s="185"/>
      <c r="K115" s="185"/>
      <c r="L115" s="185"/>
      <c r="M115" s="185"/>
      <c r="N115" s="185"/>
      <c r="O115" s="185"/>
      <c r="P115" s="185"/>
    </row>
    <row r="116" spans="1:16">
      <c r="A116" s="185"/>
      <c r="B116" s="185"/>
      <c r="C116" s="185"/>
      <c r="D116" s="185"/>
      <c r="E116" s="185"/>
      <c r="F116" s="185"/>
      <c r="G116" s="185"/>
      <c r="H116" s="185"/>
      <c r="I116" s="185"/>
      <c r="J116" s="185"/>
      <c r="K116" s="185"/>
      <c r="L116" s="185"/>
      <c r="M116" s="185"/>
      <c r="N116" s="185"/>
      <c r="O116" s="185"/>
      <c r="P116" s="185"/>
    </row>
    <row r="117" spans="1:16">
      <c r="A117" s="185"/>
      <c r="B117" s="185"/>
      <c r="C117" s="185"/>
      <c r="D117" s="185"/>
      <c r="E117" s="185"/>
      <c r="F117" s="185"/>
      <c r="G117" s="185"/>
      <c r="H117" s="185"/>
      <c r="I117" s="185"/>
      <c r="J117" s="185"/>
      <c r="K117" s="185"/>
      <c r="L117" s="185"/>
      <c r="M117" s="185"/>
      <c r="N117" s="185"/>
      <c r="O117" s="185"/>
      <c r="P117" s="185"/>
    </row>
    <row r="118" spans="1:16">
      <c r="A118" s="185"/>
      <c r="B118" s="185"/>
      <c r="C118" s="185"/>
      <c r="D118" s="185"/>
      <c r="E118" s="185"/>
      <c r="F118" s="185"/>
      <c r="G118" s="185"/>
      <c r="H118" s="185"/>
      <c r="I118" s="185"/>
      <c r="J118" s="185"/>
      <c r="K118" s="185"/>
      <c r="L118" s="185"/>
      <c r="M118" s="185"/>
      <c r="N118" s="185"/>
      <c r="O118" s="185"/>
      <c r="P118" s="185"/>
    </row>
    <row r="119" spans="1:16">
      <c r="A119" s="185"/>
      <c r="B119" s="185"/>
      <c r="C119" s="185"/>
      <c r="D119" s="185"/>
      <c r="E119" s="185"/>
      <c r="F119" s="185"/>
      <c r="G119" s="185"/>
      <c r="H119" s="185"/>
      <c r="I119" s="185"/>
      <c r="J119" s="185"/>
      <c r="K119" s="185"/>
      <c r="L119" s="185"/>
      <c r="M119" s="185"/>
      <c r="N119" s="185"/>
      <c r="O119" s="185"/>
      <c r="P119" s="185"/>
    </row>
    <row r="120" spans="1:16">
      <c r="A120" s="185"/>
      <c r="B120" s="185"/>
      <c r="C120" s="185"/>
      <c r="D120" s="185"/>
      <c r="E120" s="185"/>
      <c r="F120" s="185"/>
      <c r="G120" s="185"/>
      <c r="H120" s="185"/>
      <c r="I120" s="185"/>
      <c r="J120" s="185"/>
      <c r="K120" s="185"/>
      <c r="L120" s="185"/>
      <c r="M120" s="185"/>
      <c r="N120" s="185"/>
      <c r="O120" s="185"/>
      <c r="P120" s="185"/>
    </row>
    <row r="121" spans="1:16">
      <c r="A121" s="185"/>
      <c r="B121" s="185"/>
      <c r="C121" s="185"/>
      <c r="D121" s="185"/>
      <c r="E121" s="185"/>
      <c r="F121" s="185"/>
      <c r="G121" s="185"/>
      <c r="H121" s="185"/>
      <c r="I121" s="185"/>
      <c r="J121" s="185"/>
      <c r="K121" s="185"/>
      <c r="L121" s="185"/>
      <c r="M121" s="185"/>
      <c r="N121" s="185"/>
      <c r="O121" s="185"/>
      <c r="P121" s="185"/>
    </row>
    <row r="122" spans="1:16">
      <c r="A122" s="185"/>
      <c r="B122" s="185"/>
      <c r="C122" s="185"/>
      <c r="D122" s="185"/>
      <c r="E122" s="185"/>
      <c r="F122" s="185"/>
      <c r="G122" s="185"/>
      <c r="H122" s="185"/>
      <c r="I122" s="185"/>
      <c r="J122" s="185"/>
      <c r="K122" s="185"/>
      <c r="L122" s="185"/>
      <c r="M122" s="185"/>
      <c r="N122" s="185"/>
      <c r="O122" s="185"/>
      <c r="P122" s="185"/>
    </row>
    <row r="123" spans="1:16">
      <c r="A123" s="185"/>
      <c r="B123" s="185"/>
      <c r="C123" s="185"/>
      <c r="D123" s="185"/>
      <c r="E123" s="185"/>
      <c r="F123" s="185"/>
      <c r="G123" s="185"/>
      <c r="H123" s="185"/>
      <c r="I123" s="185"/>
      <c r="J123" s="185"/>
      <c r="K123" s="185"/>
      <c r="L123" s="185"/>
      <c r="M123" s="185"/>
      <c r="N123" s="185"/>
      <c r="O123" s="185"/>
      <c r="P123" s="185"/>
    </row>
    <row r="124" spans="1:16">
      <c r="A124" s="185"/>
      <c r="B124" s="185"/>
      <c r="C124" s="185"/>
      <c r="D124" s="185"/>
      <c r="E124" s="185"/>
      <c r="F124" s="185"/>
      <c r="G124" s="185"/>
      <c r="H124" s="185"/>
      <c r="I124" s="185"/>
      <c r="J124" s="185"/>
      <c r="K124" s="185"/>
      <c r="L124" s="185"/>
      <c r="M124" s="185"/>
      <c r="N124" s="185"/>
      <c r="O124" s="185"/>
      <c r="P124" s="185"/>
    </row>
    <row r="125" spans="1:16">
      <c r="A125" s="185"/>
      <c r="B125" s="185"/>
      <c r="C125" s="185"/>
      <c r="D125" s="185"/>
      <c r="E125" s="185"/>
      <c r="F125" s="185"/>
      <c r="G125" s="185"/>
      <c r="H125" s="185"/>
      <c r="I125" s="185"/>
      <c r="J125" s="185"/>
      <c r="K125" s="185"/>
      <c r="L125" s="185"/>
      <c r="M125" s="185"/>
      <c r="N125" s="185"/>
      <c r="O125" s="185"/>
      <c r="P125" s="185"/>
    </row>
    <row r="126" spans="1:16">
      <c r="A126" s="185"/>
      <c r="B126" s="185"/>
      <c r="C126" s="185"/>
      <c r="D126" s="185"/>
      <c r="E126" s="185"/>
      <c r="F126" s="185"/>
      <c r="G126" s="185"/>
      <c r="H126" s="185"/>
      <c r="I126" s="185"/>
      <c r="J126" s="185"/>
      <c r="K126" s="185"/>
      <c r="L126" s="185"/>
      <c r="M126" s="185"/>
      <c r="N126" s="185"/>
      <c r="O126" s="185"/>
      <c r="P126" s="185"/>
    </row>
    <row r="127" spans="1:16">
      <c r="A127" s="185"/>
      <c r="B127" s="185"/>
      <c r="C127" s="185"/>
      <c r="D127" s="185"/>
      <c r="E127" s="185"/>
      <c r="F127" s="185"/>
      <c r="G127" s="185"/>
      <c r="H127" s="185"/>
      <c r="I127" s="185"/>
      <c r="J127" s="185"/>
      <c r="K127" s="185"/>
      <c r="L127" s="185"/>
      <c r="M127" s="185"/>
      <c r="N127" s="185"/>
      <c r="O127" s="185"/>
      <c r="P127" s="185"/>
    </row>
    <row r="128" spans="1:16">
      <c r="A128" s="185"/>
      <c r="B128" s="185"/>
      <c r="C128" s="185"/>
      <c r="D128" s="185"/>
      <c r="E128" s="185"/>
      <c r="F128" s="185"/>
      <c r="G128" s="185"/>
      <c r="H128" s="185"/>
      <c r="I128" s="185"/>
      <c r="J128" s="185"/>
      <c r="K128" s="185"/>
      <c r="L128" s="185"/>
      <c r="M128" s="185"/>
      <c r="N128" s="185"/>
      <c r="O128" s="185"/>
      <c r="P128" s="185"/>
    </row>
    <row r="129" spans="1:16">
      <c r="A129" s="185"/>
      <c r="B129" s="185"/>
      <c r="C129" s="185"/>
      <c r="D129" s="185"/>
      <c r="E129" s="185"/>
      <c r="F129" s="185"/>
      <c r="G129" s="185"/>
      <c r="H129" s="185"/>
      <c r="I129" s="185"/>
      <c r="J129" s="185"/>
      <c r="K129" s="185"/>
      <c r="L129" s="185"/>
      <c r="M129" s="185"/>
      <c r="N129" s="185"/>
      <c r="O129" s="185"/>
      <c r="P129" s="185"/>
    </row>
    <row r="130" spans="1:16">
      <c r="A130" s="185"/>
      <c r="B130" s="185"/>
      <c r="C130" s="185"/>
      <c r="D130" s="185"/>
      <c r="E130" s="185"/>
      <c r="F130" s="185"/>
      <c r="G130" s="185"/>
      <c r="H130" s="185"/>
      <c r="I130" s="185"/>
      <c r="J130" s="185"/>
      <c r="K130" s="185"/>
      <c r="L130" s="185"/>
      <c r="M130" s="185"/>
      <c r="N130" s="185"/>
      <c r="O130" s="185"/>
      <c r="P130" s="185"/>
    </row>
    <row r="131" spans="1:16">
      <c r="A131" s="185"/>
      <c r="B131" s="185"/>
      <c r="C131" s="185"/>
      <c r="D131" s="185"/>
      <c r="E131" s="185"/>
      <c r="F131" s="185"/>
      <c r="G131" s="185"/>
      <c r="H131" s="185"/>
      <c r="I131" s="185"/>
      <c r="J131" s="185"/>
      <c r="K131" s="185"/>
      <c r="L131" s="185"/>
      <c r="M131" s="185"/>
      <c r="N131" s="185"/>
      <c r="O131" s="185"/>
      <c r="P131" s="185"/>
    </row>
    <row r="132" spans="1:16">
      <c r="A132" s="185"/>
      <c r="B132" s="185"/>
      <c r="C132" s="185"/>
      <c r="D132" s="185"/>
      <c r="E132" s="185"/>
      <c r="F132" s="185"/>
      <c r="G132" s="185"/>
      <c r="H132" s="185"/>
      <c r="I132" s="185"/>
      <c r="J132" s="185"/>
      <c r="K132" s="185"/>
      <c r="L132" s="185"/>
      <c r="M132" s="185"/>
      <c r="N132" s="185"/>
      <c r="O132" s="185"/>
      <c r="P132" s="185"/>
    </row>
    <row r="133" spans="1:16">
      <c r="A133" s="185"/>
      <c r="B133" s="185"/>
      <c r="C133" s="185"/>
      <c r="D133" s="185"/>
      <c r="E133" s="185"/>
      <c r="F133" s="185"/>
      <c r="G133" s="185"/>
      <c r="H133" s="185"/>
      <c r="I133" s="185"/>
      <c r="J133" s="185"/>
      <c r="K133" s="185"/>
      <c r="L133" s="185"/>
      <c r="M133" s="185"/>
      <c r="N133" s="185"/>
      <c r="O133" s="185"/>
      <c r="P133" s="185"/>
    </row>
    <row r="134" spans="1:16">
      <c r="A134" s="185"/>
      <c r="B134" s="185"/>
      <c r="C134" s="185"/>
      <c r="D134" s="185"/>
      <c r="E134" s="185"/>
      <c r="F134" s="185"/>
      <c r="G134" s="185"/>
      <c r="H134" s="185"/>
      <c r="I134" s="185"/>
      <c r="J134" s="185"/>
      <c r="K134" s="185"/>
      <c r="L134" s="185"/>
      <c r="M134" s="185"/>
      <c r="N134" s="185"/>
      <c r="O134" s="185"/>
      <c r="P134" s="185"/>
    </row>
    <row r="135" spans="1:16">
      <c r="A135" s="185"/>
      <c r="B135" s="185"/>
      <c r="C135" s="185"/>
      <c r="D135" s="185"/>
      <c r="E135" s="185"/>
      <c r="F135" s="185"/>
      <c r="G135" s="185"/>
      <c r="H135" s="185"/>
      <c r="I135" s="185"/>
      <c r="J135" s="185"/>
      <c r="K135" s="185"/>
      <c r="L135" s="185"/>
      <c r="M135" s="185"/>
      <c r="N135" s="185"/>
      <c r="O135" s="185"/>
      <c r="P135" s="185"/>
    </row>
    <row r="136" spans="1:16">
      <c r="A136" s="185"/>
      <c r="B136" s="185"/>
      <c r="C136" s="185"/>
      <c r="D136" s="185"/>
      <c r="E136" s="185"/>
      <c r="F136" s="185"/>
      <c r="G136" s="185"/>
      <c r="H136" s="185"/>
      <c r="I136" s="185"/>
      <c r="J136" s="185"/>
      <c r="K136" s="185"/>
      <c r="L136" s="185"/>
      <c r="M136" s="185"/>
      <c r="N136" s="185"/>
      <c r="O136" s="185"/>
      <c r="P136" s="185"/>
    </row>
    <row r="137" spans="1:16">
      <c r="A137" s="185"/>
      <c r="B137" s="185"/>
      <c r="C137" s="185"/>
      <c r="D137" s="185"/>
      <c r="E137" s="185"/>
      <c r="F137" s="185"/>
      <c r="G137" s="185"/>
      <c r="H137" s="185"/>
      <c r="I137" s="185"/>
      <c r="J137" s="185"/>
      <c r="K137" s="185"/>
      <c r="L137" s="185"/>
      <c r="M137" s="185"/>
      <c r="N137" s="185"/>
      <c r="O137" s="185"/>
      <c r="P137" s="185"/>
    </row>
    <row r="138" spans="1:16">
      <c r="A138" s="185"/>
      <c r="B138" s="185"/>
      <c r="C138" s="185"/>
      <c r="D138" s="185"/>
      <c r="E138" s="185"/>
      <c r="F138" s="185"/>
      <c r="G138" s="185"/>
      <c r="H138" s="185"/>
      <c r="I138" s="185"/>
      <c r="J138" s="185"/>
      <c r="K138" s="185"/>
      <c r="L138" s="185"/>
      <c r="M138" s="185"/>
      <c r="N138" s="185"/>
      <c r="O138" s="185"/>
      <c r="P138" s="185"/>
    </row>
    <row r="139" spans="1:16">
      <c r="A139" s="185"/>
      <c r="B139" s="185"/>
      <c r="C139" s="185"/>
      <c r="D139" s="185"/>
      <c r="E139" s="185"/>
      <c r="F139" s="185"/>
      <c r="G139" s="185"/>
      <c r="H139" s="185"/>
      <c r="I139" s="185"/>
      <c r="J139" s="185"/>
      <c r="K139" s="185"/>
      <c r="L139" s="185"/>
      <c r="M139" s="185"/>
      <c r="N139" s="185"/>
      <c r="O139" s="185"/>
      <c r="P139" s="185"/>
    </row>
    <row r="140" spans="1:16">
      <c r="A140" s="185"/>
      <c r="B140" s="185"/>
      <c r="C140" s="185"/>
      <c r="D140" s="185"/>
      <c r="E140" s="185"/>
      <c r="F140" s="185"/>
      <c r="G140" s="185"/>
      <c r="H140" s="185"/>
      <c r="I140" s="185"/>
      <c r="J140" s="185"/>
      <c r="K140" s="185"/>
      <c r="L140" s="185"/>
      <c r="M140" s="185"/>
      <c r="N140" s="185"/>
      <c r="O140" s="185"/>
      <c r="P140" s="185"/>
    </row>
    <row r="141" spans="1:16">
      <c r="A141" s="185"/>
      <c r="B141" s="185"/>
      <c r="C141" s="185"/>
      <c r="D141" s="185"/>
      <c r="E141" s="185"/>
      <c r="F141" s="185"/>
      <c r="G141" s="185"/>
      <c r="H141" s="185"/>
      <c r="I141" s="185"/>
      <c r="J141" s="185"/>
      <c r="K141" s="185"/>
      <c r="L141" s="185"/>
      <c r="M141" s="185"/>
      <c r="N141" s="185"/>
      <c r="O141" s="185"/>
      <c r="P141" s="185"/>
    </row>
    <row r="142" spans="1:16">
      <c r="A142" s="185"/>
      <c r="B142" s="185"/>
      <c r="C142" s="185"/>
      <c r="D142" s="185"/>
      <c r="E142" s="185"/>
      <c r="F142" s="185"/>
      <c r="G142" s="185"/>
      <c r="H142" s="185"/>
      <c r="I142" s="185"/>
      <c r="J142" s="185"/>
      <c r="K142" s="185"/>
      <c r="L142" s="185"/>
      <c r="M142" s="185"/>
      <c r="N142" s="185"/>
      <c r="O142" s="185"/>
      <c r="P142" s="185"/>
    </row>
    <row r="143" spans="1:16">
      <c r="A143" s="185"/>
      <c r="B143" s="185"/>
      <c r="C143" s="185"/>
      <c r="D143" s="185"/>
      <c r="E143" s="185"/>
      <c r="F143" s="185"/>
      <c r="G143" s="185"/>
      <c r="H143" s="185"/>
      <c r="I143" s="185"/>
      <c r="J143" s="185"/>
      <c r="K143" s="185"/>
      <c r="L143" s="185"/>
      <c r="M143" s="185"/>
      <c r="N143" s="185"/>
      <c r="O143" s="185"/>
      <c r="P143" s="185"/>
    </row>
    <row r="144" spans="1:16">
      <c r="A144" s="185"/>
      <c r="B144" s="185"/>
      <c r="C144" s="185"/>
      <c r="D144" s="185"/>
      <c r="E144" s="185"/>
      <c r="F144" s="185"/>
      <c r="G144" s="185"/>
      <c r="H144" s="185"/>
      <c r="I144" s="185"/>
      <c r="J144" s="185"/>
      <c r="K144" s="185"/>
      <c r="L144" s="185"/>
      <c r="M144" s="185"/>
      <c r="N144" s="185"/>
      <c r="O144" s="185"/>
      <c r="P144" s="185"/>
    </row>
    <row r="145" spans="1:16">
      <c r="A145" s="185"/>
      <c r="B145" s="185"/>
      <c r="C145" s="185"/>
      <c r="D145" s="185"/>
      <c r="E145" s="185"/>
      <c r="F145" s="185"/>
      <c r="G145" s="185"/>
      <c r="H145" s="185"/>
      <c r="I145" s="185"/>
      <c r="J145" s="185"/>
      <c r="K145" s="185"/>
      <c r="L145" s="185"/>
      <c r="M145" s="185"/>
      <c r="N145" s="185"/>
      <c r="O145" s="185"/>
      <c r="P145" s="185"/>
    </row>
    <row r="146" spans="1:16">
      <c r="A146" s="185"/>
      <c r="B146" s="185"/>
      <c r="C146" s="185"/>
      <c r="D146" s="185"/>
      <c r="E146" s="185"/>
      <c r="F146" s="185"/>
      <c r="G146" s="185"/>
      <c r="H146" s="185"/>
      <c r="I146" s="185"/>
      <c r="J146" s="185"/>
      <c r="K146" s="185"/>
      <c r="L146" s="185"/>
      <c r="M146" s="185"/>
      <c r="N146" s="185"/>
      <c r="O146" s="185"/>
      <c r="P146" s="185"/>
    </row>
    <row r="147" spans="1:16">
      <c r="A147" s="185"/>
      <c r="B147" s="185"/>
      <c r="C147" s="185"/>
      <c r="D147" s="185"/>
      <c r="E147" s="185"/>
      <c r="F147" s="185"/>
      <c r="G147" s="185"/>
      <c r="H147" s="185"/>
      <c r="I147" s="185"/>
      <c r="J147" s="185"/>
      <c r="K147" s="185"/>
      <c r="L147" s="185"/>
      <c r="M147" s="185"/>
      <c r="N147" s="185"/>
      <c r="O147" s="185"/>
      <c r="P147" s="185"/>
    </row>
    <row r="148" spans="1:16">
      <c r="A148" s="185"/>
      <c r="B148" s="185"/>
      <c r="C148" s="185"/>
      <c r="D148" s="185"/>
      <c r="E148" s="185"/>
      <c r="F148" s="185"/>
      <c r="G148" s="185"/>
      <c r="H148" s="185"/>
      <c r="I148" s="185"/>
      <c r="J148" s="185"/>
      <c r="K148" s="185"/>
      <c r="L148" s="185"/>
      <c r="M148" s="185"/>
      <c r="N148" s="185"/>
      <c r="O148" s="185"/>
      <c r="P148" s="185"/>
    </row>
    <row r="149" spans="1:16">
      <c r="A149" s="185"/>
      <c r="B149" s="185"/>
      <c r="C149" s="185"/>
      <c r="D149" s="185"/>
      <c r="E149" s="185"/>
      <c r="F149" s="185"/>
      <c r="G149" s="185"/>
      <c r="H149" s="185"/>
      <c r="I149" s="185"/>
      <c r="J149" s="185"/>
      <c r="K149" s="185"/>
      <c r="L149" s="185"/>
      <c r="M149" s="185"/>
      <c r="N149" s="185"/>
      <c r="O149" s="185"/>
      <c r="P149" s="185"/>
    </row>
    <row r="150" spans="1:16">
      <c r="A150" s="185"/>
      <c r="B150" s="185"/>
      <c r="C150" s="185"/>
      <c r="D150" s="185"/>
      <c r="E150" s="185"/>
      <c r="F150" s="185"/>
      <c r="G150" s="185"/>
      <c r="H150" s="185"/>
      <c r="I150" s="185"/>
      <c r="J150" s="185"/>
      <c r="K150" s="185"/>
      <c r="L150" s="185"/>
      <c r="M150" s="185"/>
      <c r="N150" s="185"/>
      <c r="O150" s="185"/>
      <c r="P150" s="185"/>
    </row>
    <row r="151" spans="1:16">
      <c r="A151" s="185"/>
      <c r="B151" s="185"/>
      <c r="C151" s="185"/>
      <c r="D151" s="185"/>
      <c r="E151" s="185"/>
      <c r="F151" s="185"/>
      <c r="G151" s="185"/>
      <c r="H151" s="185"/>
      <c r="I151" s="185"/>
      <c r="J151" s="185"/>
      <c r="K151" s="185"/>
      <c r="L151" s="185"/>
      <c r="M151" s="185"/>
      <c r="N151" s="185"/>
      <c r="O151" s="185"/>
      <c r="P151" s="185"/>
    </row>
    <row r="152" spans="1:16">
      <c r="A152" s="185"/>
      <c r="B152" s="185"/>
      <c r="C152" s="185"/>
      <c r="D152" s="185"/>
      <c r="E152" s="185"/>
      <c r="F152" s="185"/>
      <c r="G152" s="185"/>
      <c r="H152" s="185"/>
      <c r="I152" s="185"/>
      <c r="J152" s="185"/>
      <c r="K152" s="185"/>
      <c r="L152" s="185"/>
      <c r="M152" s="185"/>
      <c r="N152" s="185"/>
      <c r="O152" s="185"/>
      <c r="P152" s="185"/>
    </row>
    <row r="153" spans="1:16">
      <c r="A153" s="185"/>
      <c r="B153" s="185"/>
      <c r="C153" s="185"/>
      <c r="D153" s="185"/>
      <c r="E153" s="185"/>
      <c r="F153" s="185"/>
      <c r="G153" s="185"/>
      <c r="H153" s="185"/>
      <c r="I153" s="185"/>
      <c r="J153" s="185"/>
      <c r="K153" s="185"/>
      <c r="L153" s="185"/>
      <c r="M153" s="185"/>
      <c r="N153" s="185"/>
      <c r="O153" s="185"/>
      <c r="P153" s="185"/>
    </row>
    <row r="154" spans="1:16">
      <c r="A154" s="185"/>
      <c r="B154" s="185"/>
      <c r="C154" s="185"/>
      <c r="D154" s="185"/>
      <c r="E154" s="185"/>
      <c r="F154" s="185"/>
      <c r="G154" s="185"/>
      <c r="H154" s="185"/>
      <c r="I154" s="185"/>
      <c r="J154" s="185"/>
      <c r="K154" s="185"/>
      <c r="L154" s="185"/>
      <c r="M154" s="185"/>
      <c r="N154" s="185"/>
      <c r="O154" s="185"/>
      <c r="P154" s="185"/>
    </row>
    <row r="155" spans="1:16">
      <c r="A155" s="185"/>
      <c r="B155" s="185"/>
      <c r="C155" s="185"/>
      <c r="D155" s="185"/>
      <c r="E155" s="185"/>
      <c r="F155" s="185"/>
      <c r="G155" s="185"/>
      <c r="H155" s="185"/>
      <c r="I155" s="185"/>
      <c r="J155" s="185"/>
      <c r="K155" s="185"/>
      <c r="L155" s="185"/>
      <c r="M155" s="185"/>
      <c r="N155" s="185"/>
      <c r="O155" s="185"/>
      <c r="P155" s="185"/>
    </row>
    <row r="156" spans="1:16">
      <c r="A156" s="185"/>
      <c r="B156" s="185"/>
      <c r="C156" s="185"/>
      <c r="D156" s="185"/>
      <c r="E156" s="185"/>
      <c r="F156" s="185"/>
      <c r="G156" s="185"/>
      <c r="H156" s="185"/>
      <c r="I156" s="185"/>
      <c r="J156" s="185"/>
      <c r="K156" s="185"/>
      <c r="L156" s="185"/>
      <c r="M156" s="185"/>
      <c r="N156" s="185"/>
      <c r="O156" s="185"/>
      <c r="P156" s="185"/>
    </row>
    <row r="157" spans="1:16">
      <c r="A157" s="185"/>
      <c r="B157" s="185"/>
      <c r="C157" s="185"/>
      <c r="D157" s="185"/>
      <c r="E157" s="185"/>
      <c r="F157" s="185"/>
      <c r="G157" s="185"/>
      <c r="H157" s="185"/>
      <c r="I157" s="185"/>
      <c r="J157" s="185"/>
      <c r="K157" s="185"/>
      <c r="L157" s="185"/>
      <c r="M157" s="185"/>
      <c r="N157" s="185"/>
      <c r="O157" s="185"/>
      <c r="P157" s="185"/>
    </row>
    <row r="158" spans="1:16">
      <c r="A158" s="185"/>
      <c r="B158" s="185"/>
      <c r="C158" s="185"/>
      <c r="D158" s="185"/>
      <c r="E158" s="185"/>
      <c r="F158" s="185"/>
      <c r="G158" s="185"/>
      <c r="H158" s="185"/>
      <c r="I158" s="185"/>
      <c r="J158" s="185"/>
      <c r="K158" s="185"/>
      <c r="L158" s="185"/>
      <c r="M158" s="185"/>
      <c r="N158" s="185"/>
      <c r="O158" s="185"/>
      <c r="P158" s="185"/>
    </row>
    <row r="159" spans="1:16">
      <c r="A159" s="185"/>
      <c r="B159" s="185"/>
      <c r="C159" s="185"/>
      <c r="D159" s="185"/>
      <c r="E159" s="185"/>
      <c r="F159" s="185"/>
      <c r="G159" s="185"/>
      <c r="H159" s="185"/>
      <c r="I159" s="185"/>
      <c r="J159" s="185"/>
      <c r="K159" s="185"/>
      <c r="L159" s="185"/>
      <c r="M159" s="185"/>
      <c r="N159" s="185"/>
      <c r="O159" s="185"/>
      <c r="P159" s="185"/>
    </row>
    <row r="160" spans="1:16">
      <c r="A160" s="185"/>
      <c r="B160" s="185"/>
      <c r="C160" s="185"/>
      <c r="D160" s="185"/>
      <c r="E160" s="185"/>
      <c r="F160" s="185"/>
      <c r="G160" s="185"/>
      <c r="H160" s="185"/>
      <c r="I160" s="185"/>
      <c r="J160" s="185"/>
      <c r="K160" s="185"/>
      <c r="L160" s="185"/>
      <c r="M160" s="185"/>
      <c r="N160" s="185"/>
      <c r="O160" s="185"/>
      <c r="P160" s="185"/>
    </row>
    <row r="161" spans="1:16">
      <c r="A161" s="185"/>
      <c r="B161" s="185"/>
      <c r="C161" s="185"/>
      <c r="D161" s="185"/>
      <c r="E161" s="185"/>
      <c r="F161" s="185"/>
      <c r="G161" s="185"/>
      <c r="H161" s="185"/>
      <c r="I161" s="185"/>
      <c r="J161" s="185"/>
      <c r="K161" s="185"/>
      <c r="L161" s="185"/>
      <c r="M161" s="185"/>
      <c r="N161" s="185"/>
      <c r="O161" s="185"/>
      <c r="P161" s="185"/>
    </row>
    <row r="162" spans="1:16">
      <c r="A162" s="185"/>
      <c r="B162" s="185"/>
      <c r="C162" s="185"/>
      <c r="D162" s="185"/>
      <c r="E162" s="185"/>
      <c r="F162" s="185"/>
      <c r="G162" s="185"/>
      <c r="H162" s="185"/>
      <c r="I162" s="185"/>
      <c r="J162" s="185"/>
      <c r="K162" s="185"/>
      <c r="L162" s="185"/>
      <c r="M162" s="185"/>
      <c r="N162" s="185"/>
      <c r="O162" s="185"/>
      <c r="P162" s="185"/>
    </row>
    <row r="163" spans="1:16">
      <c r="A163" s="185"/>
      <c r="B163" s="185"/>
      <c r="C163" s="185"/>
      <c r="D163" s="185"/>
      <c r="E163" s="185"/>
      <c r="F163" s="185"/>
      <c r="G163" s="185"/>
      <c r="H163" s="185"/>
      <c r="I163" s="185"/>
      <c r="J163" s="185"/>
      <c r="K163" s="185"/>
      <c r="L163" s="185"/>
      <c r="M163" s="185"/>
      <c r="N163" s="185"/>
      <c r="O163" s="185"/>
      <c r="P163" s="185"/>
    </row>
    <row r="164" spans="1:16">
      <c r="A164" s="185"/>
      <c r="B164" s="185"/>
      <c r="C164" s="185"/>
      <c r="D164" s="185"/>
      <c r="E164" s="185"/>
      <c r="F164" s="185"/>
      <c r="G164" s="185"/>
      <c r="H164" s="185"/>
      <c r="I164" s="185"/>
      <c r="J164" s="185"/>
      <c r="K164" s="185"/>
      <c r="L164" s="185"/>
      <c r="M164" s="185"/>
      <c r="N164" s="185"/>
      <c r="O164" s="185"/>
      <c r="P164" s="185"/>
    </row>
    <row r="165" spans="1:16">
      <c r="A165" s="185"/>
      <c r="B165" s="185"/>
      <c r="C165" s="185"/>
      <c r="D165" s="185"/>
      <c r="E165" s="185"/>
      <c r="F165" s="185"/>
      <c r="G165" s="185"/>
      <c r="H165" s="185"/>
      <c r="I165" s="185"/>
      <c r="J165" s="185"/>
      <c r="K165" s="185"/>
      <c r="L165" s="185"/>
      <c r="M165" s="185"/>
      <c r="N165" s="185"/>
      <c r="O165" s="185"/>
      <c r="P165" s="185"/>
    </row>
    <row r="166" spans="1:16">
      <c r="A166" s="185"/>
      <c r="B166" s="185"/>
      <c r="C166" s="185"/>
      <c r="D166" s="185"/>
      <c r="E166" s="185"/>
      <c r="F166" s="185"/>
      <c r="G166" s="185"/>
      <c r="H166" s="185"/>
      <c r="I166" s="185"/>
      <c r="J166" s="185"/>
      <c r="K166" s="185"/>
      <c r="L166" s="185"/>
      <c r="M166" s="185"/>
      <c r="N166" s="185"/>
      <c r="O166" s="185"/>
      <c r="P166" s="185"/>
    </row>
    <row r="167" spans="1:16">
      <c r="A167" s="185"/>
      <c r="B167" s="185"/>
      <c r="C167" s="185"/>
      <c r="D167" s="185"/>
      <c r="E167" s="185"/>
      <c r="F167" s="185"/>
      <c r="G167" s="185"/>
      <c r="H167" s="185"/>
      <c r="I167" s="185"/>
      <c r="J167" s="185"/>
      <c r="K167" s="185"/>
      <c r="L167" s="185"/>
      <c r="M167" s="185"/>
      <c r="N167" s="185"/>
      <c r="O167" s="185"/>
      <c r="P167" s="185"/>
    </row>
    <row r="168" spans="1:16">
      <c r="A168" s="185"/>
      <c r="B168" s="185"/>
      <c r="C168" s="185"/>
      <c r="D168" s="185"/>
      <c r="E168" s="185"/>
      <c r="F168" s="185"/>
      <c r="G168" s="185"/>
      <c r="H168" s="185"/>
      <c r="I168" s="185"/>
      <c r="J168" s="185"/>
      <c r="K168" s="185"/>
      <c r="L168" s="185"/>
      <c r="M168" s="185"/>
      <c r="N168" s="185"/>
      <c r="O168" s="185"/>
      <c r="P168" s="185"/>
    </row>
    <row r="169" spans="1:16">
      <c r="A169" s="185"/>
      <c r="B169" s="185"/>
      <c r="C169" s="185"/>
      <c r="D169" s="185"/>
      <c r="E169" s="185"/>
      <c r="F169" s="185"/>
      <c r="G169" s="185"/>
      <c r="H169" s="185"/>
      <c r="I169" s="185"/>
      <c r="J169" s="185"/>
      <c r="K169" s="185"/>
      <c r="L169" s="185"/>
      <c r="M169" s="185"/>
      <c r="N169" s="185"/>
      <c r="O169" s="185"/>
      <c r="P169" s="185"/>
    </row>
    <row r="170" spans="1:16">
      <c r="A170" s="185"/>
      <c r="B170" s="185"/>
      <c r="C170" s="185"/>
      <c r="D170" s="185"/>
      <c r="E170" s="185"/>
      <c r="F170" s="185"/>
      <c r="G170" s="185"/>
      <c r="H170" s="185"/>
      <c r="I170" s="185"/>
      <c r="J170" s="185"/>
      <c r="K170" s="185"/>
      <c r="L170" s="185"/>
      <c r="M170" s="185"/>
      <c r="N170" s="185"/>
      <c r="O170" s="185"/>
      <c r="P170" s="185"/>
    </row>
    <row r="171" spans="1:16">
      <c r="A171" s="185"/>
      <c r="B171" s="185"/>
      <c r="C171" s="185"/>
      <c r="D171" s="185"/>
      <c r="E171" s="185"/>
      <c r="F171" s="185"/>
      <c r="G171" s="185"/>
      <c r="H171" s="185"/>
      <c r="I171" s="185"/>
      <c r="J171" s="185"/>
      <c r="K171" s="185"/>
      <c r="L171" s="185"/>
      <c r="M171" s="185"/>
      <c r="N171" s="185"/>
      <c r="O171" s="185"/>
      <c r="P171" s="185"/>
    </row>
    <row r="172" spans="1:16">
      <c r="A172" s="185"/>
      <c r="B172" s="185"/>
      <c r="C172" s="185"/>
      <c r="D172" s="185"/>
      <c r="E172" s="185"/>
      <c r="F172" s="185"/>
      <c r="G172" s="185"/>
      <c r="H172" s="185"/>
      <c r="I172" s="185"/>
      <c r="J172" s="185"/>
      <c r="K172" s="185"/>
      <c r="L172" s="185"/>
      <c r="M172" s="185"/>
      <c r="N172" s="185"/>
      <c r="O172" s="185"/>
      <c r="P172" s="185"/>
    </row>
    <row r="173" spans="1:16">
      <c r="A173" s="185"/>
      <c r="B173" s="185"/>
      <c r="C173" s="185"/>
      <c r="D173" s="185"/>
      <c r="E173" s="185"/>
      <c r="F173" s="185"/>
      <c r="G173" s="185"/>
      <c r="H173" s="185"/>
      <c r="I173" s="185"/>
      <c r="J173" s="185"/>
      <c r="K173" s="185"/>
      <c r="L173" s="185"/>
      <c r="M173" s="185"/>
      <c r="N173" s="185"/>
      <c r="O173" s="185"/>
      <c r="P173" s="185"/>
    </row>
    <row r="174" spans="1:16">
      <c r="A174" s="185"/>
      <c r="B174" s="185"/>
      <c r="C174" s="185"/>
      <c r="D174" s="185"/>
      <c r="E174" s="185"/>
      <c r="F174" s="185"/>
      <c r="G174" s="185"/>
      <c r="H174" s="185"/>
      <c r="I174" s="185"/>
      <c r="J174" s="185"/>
      <c r="K174" s="185"/>
      <c r="L174" s="185"/>
      <c r="M174" s="185"/>
      <c r="N174" s="185"/>
      <c r="O174" s="185"/>
      <c r="P174" s="185"/>
    </row>
    <row r="175" spans="1:16">
      <c r="A175" s="185"/>
      <c r="B175" s="185"/>
      <c r="C175" s="185"/>
      <c r="D175" s="185"/>
      <c r="E175" s="185"/>
      <c r="F175" s="185"/>
      <c r="G175" s="185"/>
      <c r="H175" s="185"/>
      <c r="I175" s="185"/>
      <c r="J175" s="185"/>
      <c r="K175" s="185"/>
      <c r="L175" s="185"/>
      <c r="M175" s="185"/>
      <c r="N175" s="185"/>
      <c r="O175" s="185"/>
      <c r="P175" s="185"/>
    </row>
    <row r="176" spans="1:16">
      <c r="A176" s="185"/>
      <c r="B176" s="185"/>
      <c r="C176" s="185"/>
      <c r="D176" s="185"/>
      <c r="E176" s="185"/>
      <c r="F176" s="185"/>
      <c r="G176" s="185"/>
      <c r="H176" s="185"/>
      <c r="I176" s="185"/>
      <c r="J176" s="185"/>
      <c r="K176" s="185"/>
      <c r="L176" s="185"/>
      <c r="M176" s="185"/>
      <c r="N176" s="185"/>
      <c r="O176" s="185"/>
      <c r="P176" s="185"/>
    </row>
    <row r="177" spans="1:16">
      <c r="A177" s="185"/>
      <c r="B177" s="185"/>
      <c r="C177" s="185"/>
      <c r="D177" s="185"/>
      <c r="E177" s="185"/>
      <c r="F177" s="185"/>
      <c r="G177" s="185"/>
      <c r="H177" s="185"/>
      <c r="I177" s="185"/>
      <c r="J177" s="185"/>
      <c r="K177" s="185"/>
      <c r="L177" s="185"/>
      <c r="M177" s="185"/>
      <c r="N177" s="185"/>
      <c r="O177" s="185"/>
      <c r="P177" s="185"/>
    </row>
    <row r="178" spans="1:16">
      <c r="A178" s="185"/>
      <c r="B178" s="185"/>
      <c r="C178" s="185"/>
      <c r="D178" s="185"/>
      <c r="E178" s="185"/>
      <c r="F178" s="185"/>
      <c r="G178" s="185"/>
      <c r="H178" s="185"/>
      <c r="I178" s="185"/>
      <c r="J178" s="185"/>
      <c r="K178" s="185"/>
      <c r="L178" s="185"/>
      <c r="M178" s="185"/>
      <c r="N178" s="185"/>
      <c r="O178" s="185"/>
      <c r="P178" s="185"/>
    </row>
    <row r="179" spans="1:16">
      <c r="A179" s="185"/>
      <c r="B179" s="185"/>
      <c r="C179" s="185"/>
      <c r="D179" s="185"/>
      <c r="E179" s="185"/>
      <c r="F179" s="185"/>
      <c r="G179" s="185"/>
      <c r="H179" s="185"/>
      <c r="I179" s="185"/>
      <c r="J179" s="185"/>
      <c r="K179" s="185"/>
      <c r="L179" s="185"/>
      <c r="M179" s="185"/>
      <c r="N179" s="185"/>
      <c r="O179" s="185"/>
      <c r="P179" s="185"/>
    </row>
    <row r="180" spans="1:16">
      <c r="A180" s="185"/>
      <c r="B180" s="185"/>
      <c r="C180" s="185"/>
      <c r="D180" s="185"/>
      <c r="E180" s="185"/>
      <c r="F180" s="185"/>
      <c r="G180" s="185"/>
      <c r="H180" s="185"/>
      <c r="I180" s="185"/>
      <c r="J180" s="185"/>
      <c r="K180" s="185"/>
      <c r="L180" s="185"/>
      <c r="M180" s="185"/>
      <c r="N180" s="185"/>
      <c r="O180" s="185"/>
      <c r="P180" s="185"/>
    </row>
    <row r="181" spans="1:16">
      <c r="A181" s="185"/>
      <c r="B181" s="185"/>
      <c r="C181" s="185"/>
      <c r="D181" s="185"/>
      <c r="E181" s="185"/>
      <c r="F181" s="185"/>
      <c r="G181" s="185"/>
      <c r="H181" s="185"/>
      <c r="I181" s="185"/>
      <c r="J181" s="185"/>
      <c r="K181" s="185"/>
      <c r="L181" s="185"/>
      <c r="M181" s="185"/>
      <c r="N181" s="185"/>
      <c r="O181" s="185"/>
      <c r="P181" s="185"/>
    </row>
    <row r="182" spans="1:16">
      <c r="A182" s="185"/>
      <c r="B182" s="185"/>
      <c r="C182" s="185"/>
      <c r="D182" s="185"/>
      <c r="E182" s="185"/>
      <c r="F182" s="185"/>
      <c r="G182" s="185"/>
      <c r="H182" s="185"/>
      <c r="I182" s="185"/>
      <c r="J182" s="185"/>
      <c r="K182" s="185"/>
      <c r="L182" s="185"/>
      <c r="M182" s="185"/>
      <c r="N182" s="185"/>
      <c r="O182" s="185"/>
      <c r="P182" s="185"/>
    </row>
    <row r="183" spans="1:16">
      <c r="A183" s="185"/>
      <c r="B183" s="185"/>
      <c r="C183" s="185"/>
      <c r="D183" s="185"/>
      <c r="E183" s="185"/>
      <c r="F183" s="185"/>
      <c r="G183" s="185"/>
      <c r="H183" s="185"/>
      <c r="I183" s="185"/>
      <c r="J183" s="185"/>
      <c r="K183" s="185"/>
      <c r="L183" s="185"/>
      <c r="M183" s="185"/>
      <c r="N183" s="185"/>
      <c r="O183" s="185"/>
      <c r="P183" s="185"/>
    </row>
    <row r="184" spans="1:16">
      <c r="A184" s="185"/>
      <c r="B184" s="185"/>
      <c r="C184" s="185"/>
      <c r="D184" s="185"/>
      <c r="E184" s="185"/>
      <c r="F184" s="185"/>
      <c r="G184" s="185"/>
      <c r="H184" s="185"/>
      <c r="I184" s="185"/>
      <c r="J184" s="185"/>
      <c r="K184" s="185"/>
      <c r="L184" s="185"/>
      <c r="M184" s="185"/>
      <c r="N184" s="185"/>
      <c r="O184" s="185"/>
      <c r="P184" s="185"/>
    </row>
    <row r="185" spans="1:16">
      <c r="A185" s="185"/>
      <c r="B185" s="185"/>
      <c r="C185" s="185"/>
      <c r="D185" s="185"/>
      <c r="E185" s="185"/>
      <c r="F185" s="185"/>
      <c r="G185" s="185"/>
      <c r="H185" s="185"/>
      <c r="I185" s="185"/>
      <c r="J185" s="185"/>
      <c r="K185" s="185"/>
      <c r="L185" s="185"/>
      <c r="M185" s="185"/>
      <c r="N185" s="185"/>
      <c r="O185" s="185"/>
      <c r="P185" s="185"/>
    </row>
    <row r="186" spans="1:16">
      <c r="A186" s="185"/>
      <c r="B186" s="185"/>
      <c r="C186" s="185"/>
      <c r="D186" s="185"/>
      <c r="E186" s="185"/>
      <c r="F186" s="185"/>
      <c r="G186" s="185"/>
      <c r="H186" s="185"/>
      <c r="I186" s="185"/>
      <c r="J186" s="185"/>
      <c r="K186" s="185"/>
      <c r="L186" s="185"/>
      <c r="M186" s="185"/>
      <c r="N186" s="185"/>
      <c r="O186" s="185"/>
      <c r="P186" s="185"/>
    </row>
    <row r="187" spans="1:16">
      <c r="A187" s="185"/>
      <c r="B187" s="185"/>
      <c r="C187" s="185"/>
      <c r="D187" s="185"/>
      <c r="E187" s="185"/>
      <c r="F187" s="185"/>
      <c r="G187" s="185"/>
      <c r="H187" s="185"/>
      <c r="I187" s="185"/>
      <c r="J187" s="185"/>
      <c r="K187" s="185"/>
      <c r="L187" s="185"/>
      <c r="M187" s="185"/>
      <c r="N187" s="185"/>
      <c r="O187" s="185"/>
      <c r="P187" s="185"/>
    </row>
    <row r="188" spans="1:16">
      <c r="A188" s="185"/>
      <c r="B188" s="185"/>
      <c r="C188" s="185"/>
      <c r="D188" s="185"/>
      <c r="E188" s="185"/>
      <c r="F188" s="185"/>
      <c r="G188" s="185"/>
      <c r="H188" s="185"/>
      <c r="I188" s="185"/>
      <c r="J188" s="185"/>
      <c r="K188" s="185"/>
      <c r="L188" s="185"/>
      <c r="M188" s="185"/>
      <c r="N188" s="185"/>
      <c r="O188" s="185"/>
      <c r="P188" s="185"/>
    </row>
    <row r="189" spans="1:16">
      <c r="A189" s="185"/>
      <c r="B189" s="185"/>
      <c r="C189" s="185"/>
      <c r="D189" s="185"/>
      <c r="E189" s="185"/>
      <c r="F189" s="185"/>
      <c r="G189" s="185"/>
      <c r="H189" s="185"/>
      <c r="I189" s="185"/>
      <c r="J189" s="185"/>
      <c r="K189" s="185"/>
      <c r="L189" s="185"/>
      <c r="M189" s="185"/>
      <c r="N189" s="185"/>
      <c r="O189" s="185"/>
      <c r="P189" s="185"/>
    </row>
    <row r="190" spans="1:16">
      <c r="A190" s="185"/>
      <c r="B190" s="185"/>
      <c r="C190" s="185"/>
      <c r="D190" s="185"/>
      <c r="E190" s="185"/>
      <c r="F190" s="185"/>
      <c r="G190" s="185"/>
      <c r="H190" s="185"/>
      <c r="I190" s="185"/>
      <c r="J190" s="185"/>
      <c r="K190" s="185"/>
      <c r="L190" s="185"/>
      <c r="M190" s="185"/>
      <c r="N190" s="185"/>
      <c r="O190" s="185"/>
      <c r="P190" s="185"/>
    </row>
    <row r="191" spans="1:16">
      <c r="A191" s="185"/>
      <c r="B191" s="185"/>
      <c r="C191" s="185"/>
      <c r="D191" s="185"/>
      <c r="E191" s="185"/>
      <c r="F191" s="185"/>
      <c r="G191" s="185"/>
      <c r="H191" s="185"/>
      <c r="I191" s="185"/>
      <c r="J191" s="185"/>
      <c r="K191" s="185"/>
      <c r="L191" s="185"/>
      <c r="M191" s="185"/>
      <c r="N191" s="185"/>
      <c r="O191" s="185"/>
      <c r="P191" s="185"/>
    </row>
    <row r="192" spans="1:16">
      <c r="A192" s="185"/>
      <c r="B192" s="185"/>
      <c r="C192" s="185"/>
      <c r="D192" s="185"/>
      <c r="E192" s="185"/>
      <c r="F192" s="185"/>
      <c r="G192" s="185"/>
      <c r="H192" s="185"/>
      <c r="I192" s="185"/>
      <c r="J192" s="185"/>
      <c r="K192" s="185"/>
      <c r="L192" s="185"/>
      <c r="M192" s="185"/>
      <c r="N192" s="185"/>
      <c r="O192" s="185"/>
      <c r="P192" s="185"/>
    </row>
    <row r="193" spans="1:16">
      <c r="A193" s="185"/>
      <c r="B193" s="185"/>
      <c r="C193" s="185"/>
      <c r="D193" s="185"/>
      <c r="E193" s="185"/>
      <c r="F193" s="185"/>
      <c r="G193" s="185"/>
      <c r="H193" s="185"/>
      <c r="I193" s="185"/>
      <c r="J193" s="185"/>
      <c r="K193" s="185"/>
      <c r="L193" s="185"/>
      <c r="M193" s="185"/>
      <c r="N193" s="185"/>
      <c r="O193" s="185"/>
      <c r="P193" s="185"/>
    </row>
    <row r="194" spans="1:16">
      <c r="A194" s="185"/>
      <c r="B194" s="185"/>
      <c r="C194" s="185"/>
      <c r="D194" s="185"/>
      <c r="E194" s="185"/>
      <c r="F194" s="185"/>
      <c r="G194" s="185"/>
      <c r="H194" s="185"/>
      <c r="I194" s="185"/>
      <c r="J194" s="185"/>
      <c r="K194" s="185"/>
      <c r="L194" s="185"/>
      <c r="M194" s="185"/>
      <c r="N194" s="185"/>
      <c r="O194" s="185"/>
      <c r="P194" s="185"/>
    </row>
    <row r="195" spans="1:16">
      <c r="A195" s="185"/>
      <c r="B195" s="185"/>
      <c r="C195" s="185"/>
      <c r="D195" s="185"/>
      <c r="E195" s="185"/>
      <c r="F195" s="185"/>
      <c r="G195" s="185"/>
      <c r="H195" s="185"/>
      <c r="I195" s="185"/>
      <c r="J195" s="185"/>
      <c r="K195" s="185"/>
      <c r="L195" s="185"/>
      <c r="M195" s="185"/>
      <c r="N195" s="185"/>
      <c r="O195" s="185"/>
      <c r="P195" s="185"/>
    </row>
    <row r="196" spans="1:16">
      <c r="A196" s="185"/>
      <c r="B196" s="185"/>
      <c r="C196" s="185"/>
      <c r="D196" s="185"/>
      <c r="E196" s="185"/>
      <c r="F196" s="185"/>
      <c r="G196" s="185"/>
      <c r="H196" s="185"/>
      <c r="I196" s="185"/>
      <c r="J196" s="185"/>
      <c r="K196" s="185"/>
      <c r="L196" s="185"/>
      <c r="M196" s="185"/>
      <c r="N196" s="185"/>
      <c r="O196" s="185"/>
      <c r="P196" s="185"/>
    </row>
    <row r="197" spans="1:16">
      <c r="A197" s="185"/>
      <c r="B197" s="185"/>
      <c r="C197" s="185"/>
      <c r="D197" s="185"/>
      <c r="E197" s="185"/>
      <c r="F197" s="185"/>
      <c r="G197" s="185"/>
      <c r="H197" s="185"/>
      <c r="I197" s="185"/>
      <c r="J197" s="185"/>
      <c r="K197" s="185"/>
      <c r="L197" s="185"/>
      <c r="M197" s="185"/>
      <c r="N197" s="185"/>
      <c r="O197" s="185"/>
      <c r="P197" s="185"/>
    </row>
    <row r="198" spans="1:16">
      <c r="A198" s="185"/>
      <c r="B198" s="185"/>
      <c r="C198" s="185"/>
      <c r="D198" s="185"/>
      <c r="E198" s="185"/>
      <c r="F198" s="185"/>
      <c r="G198" s="185"/>
      <c r="H198" s="185"/>
      <c r="I198" s="185"/>
      <c r="J198" s="185"/>
      <c r="K198" s="185"/>
      <c r="L198" s="185"/>
      <c r="M198" s="185"/>
      <c r="N198" s="185"/>
      <c r="O198" s="185"/>
      <c r="P198" s="185"/>
    </row>
    <row r="199" spans="1:16">
      <c r="A199" s="185"/>
      <c r="B199" s="185"/>
      <c r="C199" s="185"/>
      <c r="D199" s="185"/>
      <c r="E199" s="185"/>
      <c r="F199" s="185"/>
      <c r="G199" s="185"/>
      <c r="H199" s="185"/>
      <c r="I199" s="185"/>
      <c r="J199" s="185"/>
      <c r="K199" s="185"/>
      <c r="L199" s="185"/>
      <c r="M199" s="185"/>
      <c r="N199" s="185"/>
      <c r="O199" s="185"/>
      <c r="P199" s="185"/>
    </row>
    <row r="200" spans="1:16">
      <c r="A200" s="185"/>
      <c r="B200" s="185"/>
      <c r="C200" s="185"/>
      <c r="D200" s="185"/>
      <c r="E200" s="185"/>
      <c r="F200" s="185"/>
      <c r="G200" s="185"/>
      <c r="H200" s="185"/>
      <c r="I200" s="185"/>
      <c r="J200" s="185"/>
      <c r="K200" s="185"/>
      <c r="L200" s="185"/>
      <c r="M200" s="185"/>
      <c r="N200" s="185"/>
      <c r="O200" s="185"/>
      <c r="P200" s="185"/>
    </row>
    <row r="201" spans="1:16">
      <c r="A201" s="185"/>
      <c r="B201" s="185"/>
      <c r="C201" s="185"/>
      <c r="D201" s="185"/>
      <c r="E201" s="185"/>
      <c r="F201" s="185"/>
      <c r="G201" s="185"/>
      <c r="H201" s="185"/>
      <c r="I201" s="185"/>
      <c r="J201" s="185"/>
      <c r="K201" s="185"/>
      <c r="L201" s="185"/>
      <c r="M201" s="185"/>
      <c r="N201" s="185"/>
      <c r="O201" s="185"/>
      <c r="P201" s="185"/>
    </row>
    <row r="202" spans="1:16">
      <c r="A202" s="185"/>
      <c r="B202" s="185"/>
      <c r="C202" s="185"/>
      <c r="D202" s="185"/>
      <c r="E202" s="185"/>
      <c r="F202" s="185"/>
      <c r="G202" s="185"/>
      <c r="H202" s="185"/>
      <c r="I202" s="185"/>
      <c r="J202" s="185"/>
      <c r="K202" s="185"/>
      <c r="L202" s="185"/>
      <c r="M202" s="185"/>
      <c r="N202" s="185"/>
      <c r="O202" s="185"/>
      <c r="P202" s="185"/>
    </row>
    <row r="203" spans="1:16">
      <c r="A203" s="185"/>
      <c r="B203" s="185"/>
      <c r="C203" s="185"/>
      <c r="D203" s="185"/>
      <c r="E203" s="185"/>
      <c r="F203" s="185"/>
      <c r="G203" s="185"/>
      <c r="H203" s="185"/>
      <c r="I203" s="185"/>
      <c r="J203" s="185"/>
      <c r="K203" s="185"/>
      <c r="L203" s="185"/>
      <c r="M203" s="185"/>
      <c r="N203" s="185"/>
      <c r="O203" s="185"/>
      <c r="P203" s="185"/>
    </row>
    <row r="204" spans="1:16">
      <c r="A204" s="185"/>
      <c r="B204" s="185"/>
      <c r="C204" s="185"/>
      <c r="D204" s="185"/>
      <c r="E204" s="185"/>
      <c r="F204" s="185"/>
      <c r="G204" s="185"/>
      <c r="H204" s="185"/>
      <c r="I204" s="185"/>
      <c r="J204" s="185"/>
      <c r="K204" s="185"/>
      <c r="L204" s="185"/>
      <c r="M204" s="185"/>
      <c r="N204" s="185"/>
      <c r="O204" s="185"/>
      <c r="P204" s="185"/>
    </row>
    <row r="205" spans="1:16">
      <c r="A205" s="185"/>
      <c r="B205" s="185"/>
      <c r="C205" s="185"/>
      <c r="D205" s="185"/>
      <c r="E205" s="185"/>
      <c r="F205" s="185"/>
      <c r="G205" s="185"/>
      <c r="H205" s="185"/>
      <c r="I205" s="185"/>
      <c r="J205" s="185"/>
      <c r="K205" s="185"/>
      <c r="L205" s="185"/>
      <c r="M205" s="185"/>
      <c r="N205" s="185"/>
      <c r="O205" s="185"/>
      <c r="P205" s="185"/>
    </row>
    <row r="206" spans="1:16">
      <c r="A206" s="185"/>
      <c r="B206" s="185"/>
      <c r="C206" s="185"/>
      <c r="D206" s="185"/>
      <c r="E206" s="185"/>
      <c r="F206" s="185"/>
      <c r="G206" s="185"/>
      <c r="H206" s="185"/>
      <c r="I206" s="185"/>
      <c r="J206" s="185"/>
      <c r="K206" s="185"/>
      <c r="L206" s="185"/>
      <c r="M206" s="185"/>
      <c r="N206" s="185"/>
      <c r="O206" s="185"/>
      <c r="P206" s="185"/>
    </row>
    <row r="207" spans="1:16">
      <c r="A207" s="185"/>
      <c r="B207" s="185"/>
      <c r="C207" s="185"/>
      <c r="D207" s="185"/>
      <c r="E207" s="185"/>
      <c r="F207" s="185"/>
      <c r="G207" s="185"/>
      <c r="H207" s="185"/>
      <c r="I207" s="185"/>
      <c r="J207" s="185"/>
      <c r="K207" s="185"/>
      <c r="L207" s="185"/>
      <c r="M207" s="185"/>
      <c r="N207" s="185"/>
      <c r="O207" s="185"/>
      <c r="P207" s="185"/>
    </row>
    <row r="208" spans="1:16">
      <c r="A208" s="185"/>
      <c r="B208" s="185"/>
      <c r="C208" s="185"/>
      <c r="D208" s="185"/>
      <c r="E208" s="185"/>
      <c r="F208" s="185"/>
      <c r="G208" s="185"/>
      <c r="H208" s="185"/>
      <c r="I208" s="185"/>
      <c r="J208" s="185"/>
      <c r="K208" s="185"/>
      <c r="L208" s="185"/>
      <c r="M208" s="185"/>
      <c r="N208" s="185"/>
      <c r="O208" s="185"/>
      <c r="P208" s="185"/>
    </row>
    <row r="209" spans="1:16">
      <c r="A209" s="185"/>
      <c r="B209" s="185"/>
      <c r="C209" s="185"/>
      <c r="D209" s="185"/>
      <c r="E209" s="185"/>
      <c r="F209" s="185"/>
      <c r="G209" s="185"/>
      <c r="H209" s="185"/>
      <c r="I209" s="185"/>
      <c r="J209" s="185"/>
      <c r="K209" s="185"/>
      <c r="L209" s="185"/>
      <c r="M209" s="185"/>
      <c r="N209" s="185"/>
      <c r="O209" s="185"/>
      <c r="P209" s="185"/>
    </row>
    <row r="210" spans="1:16">
      <c r="A210" s="185"/>
      <c r="B210" s="185"/>
      <c r="C210" s="185"/>
      <c r="D210" s="185"/>
      <c r="E210" s="185"/>
      <c r="F210" s="185"/>
      <c r="G210" s="185"/>
      <c r="H210" s="185"/>
      <c r="I210" s="185"/>
      <c r="J210" s="185"/>
      <c r="K210" s="185"/>
      <c r="L210" s="185"/>
      <c r="M210" s="185"/>
      <c r="N210" s="185"/>
      <c r="O210" s="185"/>
      <c r="P210" s="185"/>
    </row>
    <row r="211" spans="1:16">
      <c r="A211" s="185"/>
      <c r="B211" s="185"/>
      <c r="C211" s="185"/>
      <c r="D211" s="185"/>
      <c r="E211" s="185"/>
      <c r="F211" s="185"/>
      <c r="G211" s="185"/>
      <c r="H211" s="185"/>
      <c r="I211" s="185"/>
      <c r="J211" s="185"/>
      <c r="K211" s="185"/>
      <c r="L211" s="185"/>
      <c r="M211" s="185"/>
      <c r="N211" s="185"/>
      <c r="O211" s="185"/>
      <c r="P211" s="185"/>
    </row>
    <row r="212" spans="1:16">
      <c r="A212" s="185"/>
      <c r="B212" s="185"/>
      <c r="C212" s="185"/>
      <c r="D212" s="185"/>
      <c r="E212" s="185"/>
      <c r="F212" s="185"/>
      <c r="G212" s="185"/>
      <c r="H212" s="185"/>
      <c r="I212" s="185"/>
      <c r="J212" s="185"/>
      <c r="K212" s="185"/>
      <c r="L212" s="185"/>
      <c r="M212" s="185"/>
      <c r="N212" s="185"/>
      <c r="O212" s="185"/>
      <c r="P212" s="185"/>
    </row>
    <row r="213" spans="1:16">
      <c r="A213" s="185"/>
      <c r="B213" s="185"/>
      <c r="C213" s="185"/>
      <c r="D213" s="185"/>
      <c r="E213" s="185"/>
      <c r="F213" s="185"/>
      <c r="G213" s="185"/>
      <c r="H213" s="185"/>
      <c r="I213" s="185"/>
      <c r="J213" s="185"/>
      <c r="K213" s="185"/>
      <c r="L213" s="185"/>
      <c r="M213" s="185"/>
      <c r="N213" s="185"/>
      <c r="O213" s="185"/>
      <c r="P213" s="185"/>
    </row>
    <row r="214" spans="1:16">
      <c r="A214" s="185"/>
      <c r="B214" s="185"/>
      <c r="C214" s="185"/>
      <c r="D214" s="185"/>
      <c r="E214" s="185"/>
      <c r="F214" s="185"/>
      <c r="G214" s="185"/>
      <c r="H214" s="185"/>
      <c r="I214" s="185"/>
      <c r="J214" s="185"/>
      <c r="K214" s="185"/>
      <c r="L214" s="185"/>
      <c r="M214" s="185"/>
      <c r="N214" s="185"/>
      <c r="O214" s="185"/>
      <c r="P214" s="185"/>
    </row>
    <row r="215" spans="1:16">
      <c r="A215" s="185"/>
      <c r="B215" s="185"/>
      <c r="C215" s="185"/>
      <c r="D215" s="185"/>
      <c r="E215" s="185"/>
      <c r="F215" s="185"/>
      <c r="G215" s="185"/>
      <c r="H215" s="185"/>
      <c r="I215" s="185"/>
      <c r="J215" s="185"/>
      <c r="K215" s="185"/>
      <c r="L215" s="185"/>
      <c r="M215" s="185"/>
      <c r="N215" s="185"/>
      <c r="O215" s="185"/>
      <c r="P215" s="185"/>
    </row>
    <row r="216" spans="1:16">
      <c r="A216" s="185"/>
      <c r="B216" s="185"/>
      <c r="C216" s="185"/>
      <c r="D216" s="185"/>
      <c r="E216" s="185"/>
      <c r="F216" s="185"/>
      <c r="G216" s="185"/>
      <c r="H216" s="185"/>
      <c r="I216" s="185"/>
      <c r="J216" s="185"/>
      <c r="K216" s="185"/>
      <c r="L216" s="185"/>
      <c r="M216" s="185"/>
      <c r="N216" s="185"/>
      <c r="O216" s="185"/>
      <c r="P216" s="185"/>
    </row>
    <row r="217" spans="1:16">
      <c r="A217" s="185"/>
      <c r="B217" s="185"/>
      <c r="C217" s="185"/>
      <c r="D217" s="185"/>
      <c r="E217" s="185"/>
      <c r="F217" s="185"/>
      <c r="G217" s="185"/>
      <c r="H217" s="185"/>
      <c r="I217" s="185"/>
      <c r="J217" s="185"/>
      <c r="K217" s="185"/>
      <c r="L217" s="185"/>
      <c r="M217" s="185"/>
      <c r="N217" s="185"/>
      <c r="O217" s="185"/>
      <c r="P217" s="185"/>
    </row>
    <row r="218" spans="1:16">
      <c r="A218" s="185"/>
      <c r="B218" s="185"/>
      <c r="C218" s="185"/>
      <c r="D218" s="185"/>
      <c r="E218" s="185"/>
      <c r="F218" s="185"/>
      <c r="G218" s="185"/>
      <c r="H218" s="185"/>
      <c r="I218" s="185"/>
      <c r="J218" s="185"/>
      <c r="K218" s="185"/>
      <c r="L218" s="185"/>
      <c r="M218" s="185"/>
      <c r="N218" s="185"/>
      <c r="O218" s="185"/>
      <c r="P218" s="185"/>
    </row>
    <row r="219" spans="1:16">
      <c r="A219" s="185"/>
      <c r="B219" s="185"/>
      <c r="C219" s="185"/>
      <c r="D219" s="185"/>
      <c r="E219" s="185"/>
      <c r="F219" s="185"/>
      <c r="G219" s="185"/>
      <c r="H219" s="185"/>
      <c r="I219" s="185"/>
      <c r="J219" s="185"/>
      <c r="K219" s="185"/>
      <c r="L219" s="185"/>
      <c r="M219" s="185"/>
      <c r="N219" s="185"/>
      <c r="O219" s="185"/>
      <c r="P219" s="185"/>
    </row>
    <row r="220" spans="1:16">
      <c r="A220" s="185"/>
      <c r="B220" s="185"/>
      <c r="C220" s="185"/>
      <c r="D220" s="185"/>
      <c r="E220" s="185"/>
      <c r="F220" s="185"/>
      <c r="G220" s="185"/>
      <c r="H220" s="185"/>
      <c r="I220" s="185"/>
      <c r="J220" s="185"/>
      <c r="K220" s="185"/>
      <c r="L220" s="185"/>
      <c r="M220" s="185"/>
      <c r="N220" s="185"/>
      <c r="O220" s="185"/>
      <c r="P220" s="185"/>
    </row>
    <row r="221" spans="1:16">
      <c r="A221" s="185"/>
      <c r="B221" s="185"/>
      <c r="C221" s="185"/>
      <c r="D221" s="185"/>
      <c r="E221" s="185"/>
      <c r="F221" s="185"/>
      <c r="G221" s="185"/>
      <c r="H221" s="185"/>
      <c r="I221" s="185"/>
      <c r="J221" s="185"/>
      <c r="K221" s="185"/>
      <c r="L221" s="185"/>
      <c r="M221" s="185"/>
      <c r="N221" s="185"/>
      <c r="O221" s="185"/>
      <c r="P221" s="185"/>
    </row>
    <row r="222" spans="1:16">
      <c r="A222" s="185"/>
      <c r="B222" s="185"/>
      <c r="C222" s="185"/>
      <c r="D222" s="185"/>
      <c r="E222" s="185"/>
      <c r="F222" s="185"/>
      <c r="G222" s="185"/>
      <c r="H222" s="185"/>
      <c r="I222" s="185"/>
      <c r="J222" s="185"/>
      <c r="K222" s="185"/>
      <c r="L222" s="185"/>
      <c r="M222" s="185"/>
      <c r="N222" s="185"/>
      <c r="O222" s="185"/>
      <c r="P222" s="185"/>
    </row>
    <row r="223" spans="1:16">
      <c r="A223" s="185"/>
      <c r="B223" s="185"/>
      <c r="C223" s="185"/>
      <c r="D223" s="185"/>
      <c r="E223" s="185"/>
      <c r="F223" s="185"/>
      <c r="G223" s="185"/>
      <c r="H223" s="185"/>
      <c r="I223" s="185"/>
      <c r="J223" s="185"/>
      <c r="K223" s="185"/>
      <c r="L223" s="185"/>
      <c r="M223" s="185"/>
      <c r="N223" s="185"/>
      <c r="O223" s="185"/>
      <c r="P223" s="185"/>
    </row>
    <row r="224" spans="1:16">
      <c r="A224" s="185"/>
      <c r="B224" s="185"/>
      <c r="C224" s="185"/>
      <c r="D224" s="185"/>
      <c r="E224" s="185"/>
      <c r="F224" s="185"/>
      <c r="G224" s="185"/>
      <c r="H224" s="185"/>
      <c r="I224" s="185"/>
      <c r="J224" s="185"/>
      <c r="K224" s="185"/>
      <c r="L224" s="185"/>
      <c r="M224" s="185"/>
      <c r="N224" s="185"/>
      <c r="O224" s="185"/>
      <c r="P224" s="185"/>
    </row>
    <row r="225" spans="1:16">
      <c r="A225" s="185"/>
      <c r="B225" s="185"/>
      <c r="C225" s="185"/>
      <c r="D225" s="185"/>
      <c r="E225" s="185"/>
      <c r="F225" s="185"/>
      <c r="G225" s="185"/>
      <c r="H225" s="185"/>
      <c r="I225" s="185"/>
      <c r="J225" s="185"/>
      <c r="K225" s="185"/>
      <c r="L225" s="185"/>
      <c r="M225" s="185"/>
      <c r="N225" s="185"/>
      <c r="O225" s="185"/>
      <c r="P225" s="185"/>
    </row>
    <row r="226" spans="1:16">
      <c r="A226" s="185"/>
      <c r="B226" s="185"/>
      <c r="C226" s="185"/>
      <c r="D226" s="185"/>
      <c r="E226" s="185"/>
      <c r="F226" s="185"/>
      <c r="G226" s="185"/>
      <c r="H226" s="185"/>
      <c r="I226" s="185"/>
      <c r="J226" s="185"/>
      <c r="K226" s="185"/>
      <c r="L226" s="185"/>
      <c r="M226" s="185"/>
      <c r="N226" s="185"/>
      <c r="O226" s="185"/>
      <c r="P226" s="185"/>
    </row>
    <row r="227" spans="1:16">
      <c r="A227" s="185"/>
      <c r="B227" s="185"/>
      <c r="C227" s="185"/>
      <c r="D227" s="185"/>
      <c r="E227" s="185"/>
      <c r="F227" s="185"/>
      <c r="G227" s="185"/>
      <c r="H227" s="185"/>
      <c r="I227" s="185"/>
      <c r="J227" s="185"/>
      <c r="K227" s="185"/>
      <c r="L227" s="185"/>
      <c r="M227" s="185"/>
      <c r="N227" s="185"/>
      <c r="O227" s="185"/>
      <c r="P227" s="185"/>
    </row>
    <row r="228" spans="1:16">
      <c r="A228" s="185"/>
      <c r="B228" s="185"/>
      <c r="C228" s="185"/>
      <c r="D228" s="185"/>
      <c r="E228" s="185"/>
      <c r="F228" s="185"/>
      <c r="G228" s="185"/>
      <c r="H228" s="185"/>
      <c r="I228" s="185"/>
      <c r="J228" s="185"/>
      <c r="K228" s="185"/>
      <c r="L228" s="185"/>
      <c r="M228" s="185"/>
      <c r="N228" s="185"/>
      <c r="O228" s="185"/>
      <c r="P228" s="185"/>
    </row>
    <row r="229" spans="1:16">
      <c r="A229" s="185"/>
      <c r="B229" s="185"/>
      <c r="C229" s="185"/>
      <c r="D229" s="185"/>
      <c r="E229" s="185"/>
      <c r="F229" s="185"/>
      <c r="G229" s="185"/>
      <c r="H229" s="185"/>
      <c r="I229" s="185"/>
      <c r="J229" s="185"/>
      <c r="K229" s="185"/>
      <c r="L229" s="185"/>
      <c r="M229" s="185"/>
      <c r="N229" s="185"/>
      <c r="O229" s="185"/>
      <c r="P229" s="185"/>
    </row>
    <row r="230" spans="1:16">
      <c r="A230" s="185"/>
      <c r="B230" s="185"/>
      <c r="C230" s="185"/>
      <c r="D230" s="185"/>
      <c r="E230" s="185"/>
      <c r="F230" s="185"/>
      <c r="G230" s="185"/>
      <c r="H230" s="185"/>
      <c r="I230" s="185"/>
      <c r="J230" s="185"/>
      <c r="K230" s="185"/>
      <c r="L230" s="185"/>
      <c r="M230" s="185"/>
      <c r="N230" s="185"/>
      <c r="O230" s="185"/>
      <c r="P230" s="185"/>
    </row>
    <row r="231" spans="1:16">
      <c r="A231" s="185"/>
      <c r="B231" s="185"/>
      <c r="C231" s="185"/>
      <c r="D231" s="185"/>
      <c r="E231" s="185"/>
      <c r="F231" s="185"/>
      <c r="G231" s="185"/>
      <c r="H231" s="185"/>
      <c r="I231" s="185"/>
      <c r="J231" s="185"/>
      <c r="K231" s="185"/>
      <c r="L231" s="185"/>
      <c r="M231" s="185"/>
      <c r="N231" s="185"/>
      <c r="O231" s="185"/>
      <c r="P231" s="185"/>
    </row>
    <row r="232" spans="1:16">
      <c r="A232" s="185"/>
      <c r="B232" s="185"/>
      <c r="C232" s="185"/>
      <c r="D232" s="185"/>
      <c r="E232" s="185"/>
      <c r="F232" s="185"/>
      <c r="G232" s="185"/>
      <c r="H232" s="185"/>
      <c r="I232" s="185"/>
      <c r="J232" s="185"/>
      <c r="K232" s="185"/>
      <c r="L232" s="185"/>
      <c r="M232" s="185"/>
      <c r="N232" s="185"/>
      <c r="O232" s="185"/>
      <c r="P232" s="185"/>
    </row>
    <row r="233" spans="1:16">
      <c r="A233" s="185"/>
      <c r="B233" s="185"/>
      <c r="C233" s="185"/>
      <c r="D233" s="185"/>
      <c r="E233" s="185"/>
      <c r="F233" s="185"/>
      <c r="G233" s="185"/>
      <c r="H233" s="185"/>
      <c r="I233" s="185"/>
      <c r="J233" s="185"/>
      <c r="K233" s="185"/>
      <c r="L233" s="185"/>
      <c r="M233" s="185"/>
      <c r="N233" s="185"/>
      <c r="O233" s="185"/>
      <c r="P233" s="185"/>
    </row>
    <row r="234" spans="1:16">
      <c r="A234" s="185"/>
      <c r="B234" s="185"/>
      <c r="C234" s="185"/>
      <c r="D234" s="185"/>
      <c r="E234" s="185"/>
      <c r="F234" s="185"/>
      <c r="G234" s="185"/>
      <c r="H234" s="185"/>
      <c r="I234" s="185"/>
      <c r="J234" s="185"/>
      <c r="K234" s="185"/>
      <c r="L234" s="185"/>
      <c r="M234" s="185"/>
      <c r="N234" s="185"/>
      <c r="O234" s="185"/>
      <c r="P234" s="185"/>
    </row>
    <row r="235" spans="1:16">
      <c r="A235" s="185"/>
      <c r="B235" s="185"/>
      <c r="C235" s="185"/>
      <c r="D235" s="185"/>
      <c r="E235" s="185"/>
      <c r="F235" s="185"/>
      <c r="G235" s="185"/>
      <c r="H235" s="185"/>
      <c r="I235" s="185"/>
      <c r="J235" s="185"/>
      <c r="K235" s="185"/>
      <c r="L235" s="185"/>
      <c r="M235" s="185"/>
      <c r="N235" s="185"/>
      <c r="O235" s="185"/>
      <c r="P235" s="185"/>
    </row>
    <row r="236" spans="1:16">
      <c r="A236" s="185"/>
      <c r="B236" s="185"/>
      <c r="C236" s="185"/>
      <c r="D236" s="185"/>
      <c r="E236" s="185"/>
      <c r="F236" s="185"/>
      <c r="G236" s="185"/>
      <c r="H236" s="185"/>
      <c r="I236" s="185"/>
      <c r="J236" s="185"/>
      <c r="K236" s="185"/>
      <c r="L236" s="185"/>
      <c r="M236" s="185"/>
      <c r="N236" s="185"/>
      <c r="O236" s="185"/>
      <c r="P236" s="185"/>
    </row>
    <row r="237" spans="1:16">
      <c r="A237" s="185"/>
      <c r="B237" s="185"/>
      <c r="C237" s="185"/>
      <c r="D237" s="185"/>
      <c r="E237" s="185"/>
      <c r="F237" s="185"/>
      <c r="G237" s="185"/>
      <c r="H237" s="185"/>
      <c r="I237" s="185"/>
      <c r="J237" s="185"/>
      <c r="K237" s="185"/>
      <c r="L237" s="185"/>
      <c r="M237" s="185"/>
      <c r="N237" s="185"/>
      <c r="O237" s="185"/>
      <c r="P237" s="185"/>
    </row>
    <row r="238" spans="1:16">
      <c r="A238" s="185"/>
      <c r="B238" s="185"/>
      <c r="C238" s="185"/>
      <c r="D238" s="185"/>
      <c r="E238" s="185"/>
      <c r="F238" s="185"/>
      <c r="G238" s="185"/>
      <c r="H238" s="185"/>
      <c r="I238" s="185"/>
      <c r="J238" s="185"/>
      <c r="K238" s="185"/>
      <c r="L238" s="185"/>
      <c r="M238" s="185"/>
      <c r="N238" s="185"/>
      <c r="O238" s="185"/>
      <c r="P238" s="185"/>
    </row>
    <row r="239" spans="1:16">
      <c r="A239" s="185"/>
      <c r="B239" s="185"/>
      <c r="C239" s="185"/>
      <c r="D239" s="185"/>
      <c r="E239" s="185"/>
      <c r="F239" s="185"/>
      <c r="G239" s="185"/>
      <c r="H239" s="185"/>
      <c r="I239" s="185"/>
      <c r="J239" s="185"/>
      <c r="K239" s="185"/>
      <c r="L239" s="185"/>
      <c r="M239" s="185"/>
      <c r="N239" s="185"/>
      <c r="O239" s="185"/>
      <c r="P239" s="185"/>
    </row>
    <row r="240" spans="1:16">
      <c r="A240" s="185"/>
      <c r="B240" s="185"/>
      <c r="C240" s="185"/>
      <c r="D240" s="185"/>
      <c r="E240" s="185"/>
      <c r="F240" s="185"/>
      <c r="G240" s="185"/>
      <c r="H240" s="185"/>
      <c r="I240" s="185"/>
      <c r="J240" s="185"/>
      <c r="K240" s="185"/>
      <c r="L240" s="185"/>
      <c r="M240" s="185"/>
      <c r="N240" s="185"/>
      <c r="O240" s="185"/>
      <c r="P240" s="185"/>
    </row>
    <row r="241" spans="1:16">
      <c r="A241" s="185"/>
      <c r="B241" s="185"/>
      <c r="C241" s="185"/>
      <c r="D241" s="185"/>
      <c r="E241" s="185"/>
      <c r="F241" s="185"/>
      <c r="G241" s="185"/>
      <c r="H241" s="185"/>
      <c r="I241" s="185"/>
      <c r="J241" s="185"/>
      <c r="K241" s="185"/>
      <c r="L241" s="185"/>
      <c r="M241" s="185"/>
      <c r="N241" s="185"/>
      <c r="O241" s="185"/>
      <c r="P241" s="185"/>
    </row>
    <row r="242" spans="1:16">
      <c r="A242" s="185"/>
      <c r="B242" s="185"/>
      <c r="C242" s="185"/>
      <c r="D242" s="185"/>
      <c r="E242" s="185"/>
      <c r="F242" s="185"/>
      <c r="G242" s="185"/>
      <c r="H242" s="185"/>
      <c r="I242" s="185"/>
      <c r="J242" s="185"/>
      <c r="K242" s="185"/>
      <c r="L242" s="185"/>
      <c r="M242" s="185"/>
      <c r="N242" s="185"/>
      <c r="O242" s="185"/>
      <c r="P242" s="185"/>
    </row>
    <row r="243" spans="1:16">
      <c r="A243" s="185"/>
      <c r="B243" s="185"/>
      <c r="C243" s="185"/>
      <c r="D243" s="185"/>
      <c r="E243" s="185"/>
      <c r="F243" s="185"/>
      <c r="G243" s="185"/>
      <c r="H243" s="185"/>
      <c r="I243" s="185"/>
      <c r="J243" s="185"/>
      <c r="K243" s="185"/>
      <c r="L243" s="185"/>
      <c r="M243" s="185"/>
      <c r="N243" s="185"/>
      <c r="O243" s="185"/>
      <c r="P243" s="185"/>
    </row>
    <row r="244" spans="1:16">
      <c r="A244" s="185"/>
      <c r="B244" s="185"/>
      <c r="C244" s="185"/>
      <c r="D244" s="185"/>
      <c r="E244" s="185"/>
      <c r="F244" s="185"/>
      <c r="G244" s="185"/>
      <c r="H244" s="185"/>
      <c r="I244" s="185"/>
      <c r="J244" s="185"/>
      <c r="K244" s="185"/>
      <c r="L244" s="185"/>
      <c r="M244" s="185"/>
      <c r="N244" s="185"/>
      <c r="O244" s="185"/>
      <c r="P244" s="185"/>
    </row>
    <row r="245" spans="1:16">
      <c r="A245" s="185"/>
      <c r="B245" s="185"/>
      <c r="C245" s="185"/>
      <c r="D245" s="185"/>
      <c r="E245" s="185"/>
      <c r="F245" s="185"/>
      <c r="G245" s="185"/>
      <c r="H245" s="185"/>
      <c r="I245" s="185"/>
      <c r="J245" s="185"/>
      <c r="K245" s="185"/>
      <c r="L245" s="185"/>
      <c r="M245" s="185"/>
      <c r="N245" s="185"/>
      <c r="O245" s="185"/>
      <c r="P245" s="185"/>
    </row>
    <row r="246" spans="1:16">
      <c r="A246" s="185"/>
      <c r="B246" s="185"/>
      <c r="C246" s="185"/>
      <c r="D246" s="185"/>
      <c r="E246" s="185"/>
      <c r="F246" s="185"/>
      <c r="G246" s="185"/>
      <c r="H246" s="185"/>
      <c r="I246" s="185"/>
      <c r="J246" s="185"/>
      <c r="K246" s="185"/>
      <c r="L246" s="185"/>
      <c r="M246" s="185"/>
      <c r="N246" s="185"/>
      <c r="O246" s="185"/>
      <c r="P246" s="185"/>
    </row>
    <row r="247" spans="1:16">
      <c r="A247" s="185"/>
      <c r="B247" s="185"/>
      <c r="C247" s="185"/>
      <c r="D247" s="185"/>
      <c r="E247" s="185"/>
      <c r="F247" s="185"/>
      <c r="G247" s="185"/>
      <c r="H247" s="185"/>
      <c r="I247" s="185"/>
      <c r="J247" s="185"/>
      <c r="K247" s="185"/>
      <c r="L247" s="185"/>
      <c r="M247" s="185"/>
      <c r="N247" s="185"/>
      <c r="O247" s="185"/>
      <c r="P247" s="185"/>
    </row>
    <row r="248" spans="1:16">
      <c r="A248" s="185"/>
      <c r="B248" s="185"/>
      <c r="C248" s="185"/>
      <c r="D248" s="185"/>
      <c r="E248" s="185"/>
      <c r="F248" s="185"/>
      <c r="G248" s="185"/>
      <c r="H248" s="185"/>
      <c r="I248" s="185"/>
      <c r="J248" s="185"/>
      <c r="K248" s="185"/>
      <c r="L248" s="185"/>
      <c r="M248" s="185"/>
      <c r="N248" s="185"/>
      <c r="O248" s="185"/>
      <c r="P248" s="185"/>
    </row>
    <row r="249" spans="1:16">
      <c r="A249" s="185"/>
      <c r="B249" s="185"/>
      <c r="C249" s="185"/>
      <c r="D249" s="185"/>
      <c r="E249" s="185"/>
      <c r="F249" s="185"/>
      <c r="G249" s="185"/>
      <c r="H249" s="185"/>
      <c r="I249" s="185"/>
      <c r="J249" s="185"/>
      <c r="K249" s="185"/>
      <c r="L249" s="185"/>
      <c r="M249" s="185"/>
      <c r="N249" s="185"/>
      <c r="O249" s="185"/>
      <c r="P249" s="185"/>
    </row>
    <row r="250" spans="1:16">
      <c r="A250" s="185"/>
      <c r="B250" s="185"/>
      <c r="C250" s="185"/>
      <c r="D250" s="185"/>
      <c r="E250" s="185"/>
      <c r="F250" s="185"/>
      <c r="G250" s="185"/>
      <c r="H250" s="185"/>
      <c r="I250" s="185"/>
      <c r="J250" s="185"/>
      <c r="K250" s="185"/>
      <c r="L250" s="185"/>
      <c r="M250" s="185"/>
      <c r="N250" s="185"/>
      <c r="O250" s="185"/>
      <c r="P250" s="185"/>
    </row>
    <row r="251" spans="1:16">
      <c r="A251" s="185"/>
      <c r="B251" s="185"/>
      <c r="C251" s="185"/>
      <c r="D251" s="185"/>
      <c r="E251" s="185"/>
      <c r="F251" s="185"/>
      <c r="G251" s="185"/>
      <c r="H251" s="185"/>
      <c r="I251" s="185"/>
      <c r="J251" s="185"/>
      <c r="K251" s="185"/>
      <c r="L251" s="185"/>
      <c r="M251" s="185"/>
      <c r="N251" s="185"/>
      <c r="O251" s="185"/>
      <c r="P251" s="185"/>
    </row>
    <row r="252" spans="1:16">
      <c r="A252" s="185"/>
      <c r="B252" s="185"/>
      <c r="C252" s="185"/>
      <c r="D252" s="185"/>
      <c r="E252" s="185"/>
      <c r="F252" s="185"/>
      <c r="G252" s="185"/>
      <c r="H252" s="185"/>
      <c r="I252" s="185"/>
      <c r="J252" s="185"/>
      <c r="K252" s="185"/>
      <c r="L252" s="185"/>
      <c r="M252" s="185"/>
      <c r="N252" s="185"/>
      <c r="O252" s="185"/>
      <c r="P252" s="185"/>
    </row>
    <row r="253" spans="1:16">
      <c r="A253" s="185"/>
      <c r="B253" s="185"/>
      <c r="C253" s="185"/>
      <c r="D253" s="185"/>
      <c r="E253" s="185"/>
      <c r="F253" s="185"/>
      <c r="G253" s="185"/>
      <c r="H253" s="185"/>
      <c r="I253" s="185"/>
      <c r="J253" s="185"/>
      <c r="K253" s="185"/>
      <c r="L253" s="185"/>
      <c r="M253" s="185"/>
      <c r="N253" s="185"/>
      <c r="O253" s="185"/>
      <c r="P253" s="185"/>
    </row>
    <row r="254" spans="1:16">
      <c r="A254" s="185"/>
      <c r="B254" s="185"/>
      <c r="C254" s="185"/>
      <c r="D254" s="185"/>
      <c r="E254" s="185"/>
      <c r="F254" s="185"/>
      <c r="G254" s="185"/>
      <c r="H254" s="185"/>
      <c r="I254" s="185"/>
      <c r="J254" s="185"/>
      <c r="K254" s="185"/>
      <c r="L254" s="185"/>
      <c r="M254" s="185"/>
      <c r="N254" s="185"/>
      <c r="O254" s="185"/>
      <c r="P254" s="185"/>
    </row>
    <row r="255" spans="1:16">
      <c r="A255" s="185"/>
      <c r="B255" s="185"/>
      <c r="C255" s="185"/>
      <c r="D255" s="185"/>
      <c r="E255" s="185"/>
      <c r="F255" s="185"/>
      <c r="G255" s="185"/>
      <c r="H255" s="185"/>
      <c r="I255" s="185"/>
      <c r="J255" s="185"/>
      <c r="K255" s="185"/>
      <c r="L255" s="185"/>
      <c r="M255" s="185"/>
      <c r="N255" s="185"/>
      <c r="O255" s="185"/>
      <c r="P255" s="185"/>
    </row>
    <row r="256" spans="1:16">
      <c r="A256" s="185"/>
      <c r="B256" s="185"/>
      <c r="C256" s="185"/>
      <c r="D256" s="185"/>
      <c r="E256" s="185"/>
      <c r="F256" s="185"/>
      <c r="G256" s="185"/>
      <c r="H256" s="185"/>
      <c r="I256" s="185"/>
      <c r="J256" s="185"/>
      <c r="K256" s="185"/>
      <c r="L256" s="185"/>
      <c r="M256" s="185"/>
      <c r="N256" s="185"/>
      <c r="O256" s="185"/>
      <c r="P256" s="185"/>
    </row>
    <row r="257" spans="1:16">
      <c r="A257" s="185"/>
      <c r="B257" s="185"/>
      <c r="C257" s="185"/>
      <c r="D257" s="185"/>
      <c r="E257" s="185"/>
      <c r="F257" s="185"/>
      <c r="G257" s="185"/>
      <c r="H257" s="185"/>
      <c r="I257" s="185"/>
      <c r="J257" s="185"/>
      <c r="K257" s="185"/>
      <c r="L257" s="185"/>
      <c r="M257" s="185"/>
      <c r="N257" s="185"/>
      <c r="O257" s="185"/>
      <c r="P257" s="185"/>
    </row>
    <row r="258" spans="1:16">
      <c r="A258" s="185"/>
      <c r="B258" s="185"/>
      <c r="C258" s="185"/>
      <c r="D258" s="185"/>
      <c r="E258" s="185"/>
      <c r="F258" s="185"/>
      <c r="G258" s="185"/>
      <c r="H258" s="185"/>
      <c r="I258" s="185"/>
      <c r="J258" s="185"/>
      <c r="K258" s="185"/>
      <c r="L258" s="185"/>
      <c r="M258" s="185"/>
      <c r="N258" s="185"/>
      <c r="O258" s="185"/>
      <c r="P258" s="185"/>
    </row>
    <row r="259" spans="1:16">
      <c r="A259" s="185"/>
      <c r="B259" s="185"/>
      <c r="C259" s="185"/>
      <c r="D259" s="185"/>
      <c r="E259" s="185"/>
      <c r="F259" s="185"/>
      <c r="G259" s="185"/>
      <c r="H259" s="185"/>
      <c r="I259" s="185"/>
      <c r="J259" s="185"/>
      <c r="K259" s="185"/>
      <c r="L259" s="185"/>
      <c r="M259" s="185"/>
      <c r="N259" s="185"/>
      <c r="O259" s="185"/>
      <c r="P259" s="185"/>
    </row>
  </sheetData>
  <mergeCells count="5">
    <mergeCell ref="C2:J2"/>
    <mergeCell ref="B8:K51"/>
    <mergeCell ref="M10:O10"/>
    <mergeCell ref="C3:J3"/>
    <mergeCell ref="C4:J4"/>
  </mergeCells>
  <pageMargins left="0.75" right="0.75" top="1" bottom="1" header="0.5" footer="0.5"/>
  <pageSetup scale="72"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sheetPr codeName="Sheet25">
    <pageSetUpPr fitToPage="1"/>
  </sheetPr>
  <dimension ref="A1:O148"/>
  <sheetViews>
    <sheetView showGridLines="0" topLeftCell="A4" zoomScale="85" zoomScaleNormal="85" workbookViewId="0">
      <selection activeCell="N33" sqref="N33"/>
    </sheetView>
  </sheetViews>
  <sheetFormatPr defaultColWidth="8.85546875" defaultRowHeight="12.75"/>
  <cols>
    <col min="1" max="2" width="4.28515625" style="28" customWidth="1"/>
    <col min="3" max="3" width="13" style="28" customWidth="1"/>
    <col min="4" max="4" width="9.7109375" style="28" customWidth="1"/>
    <col min="5" max="5" width="9.140625" style="28" customWidth="1"/>
    <col min="6" max="6" width="32.7109375" style="28" customWidth="1"/>
    <col min="7" max="7" width="17.28515625" style="139" customWidth="1"/>
    <col min="8" max="8" width="13.85546875" style="28" customWidth="1"/>
    <col min="9" max="9" width="9.140625" style="138" customWidth="1"/>
    <col min="10" max="10" width="4.7109375" style="28" customWidth="1"/>
    <col min="11" max="11" width="14.85546875" style="28" customWidth="1"/>
    <col min="12" max="12" width="9.140625" style="28" customWidth="1"/>
    <col min="13" max="16384" width="8.85546875" style="28"/>
  </cols>
  <sheetData>
    <row r="1" spans="1:15" s="91" customFormat="1">
      <c r="A1" s="714"/>
      <c r="B1" s="714" t="str">
        <f>TestYear &amp; " Test Year"</f>
        <v>2015 Test Year</v>
      </c>
      <c r="C1" s="671"/>
      <c r="D1" s="671"/>
      <c r="E1" s="671"/>
      <c r="F1" s="671"/>
      <c r="G1" s="1662"/>
      <c r="H1" s="671"/>
      <c r="I1" s="1663"/>
      <c r="J1" s="671"/>
      <c r="K1" s="1001" t="s">
        <v>814</v>
      </c>
      <c r="L1" s="659"/>
      <c r="M1" s="185"/>
      <c r="N1" s="185"/>
      <c r="O1" s="185"/>
    </row>
    <row r="2" spans="1:15" s="91" customFormat="1">
      <c r="A2" s="1616"/>
      <c r="B2" s="1616"/>
      <c r="C2" s="671"/>
      <c r="D2" s="671"/>
      <c r="E2" s="671"/>
      <c r="F2" s="671"/>
      <c r="G2" s="1662"/>
      <c r="H2" s="671"/>
      <c r="I2" s="1663"/>
      <c r="J2" s="671"/>
      <c r="K2" s="671"/>
      <c r="L2" s="186"/>
      <c r="M2" s="185"/>
      <c r="N2" s="185"/>
      <c r="O2" s="185"/>
    </row>
    <row r="3" spans="1:15" s="91" customFormat="1">
      <c r="A3" s="1617"/>
      <c r="B3" s="1617"/>
      <c r="C3" s="2052">
        <f>TestYear</f>
        <v>2015</v>
      </c>
      <c r="D3" s="1967"/>
      <c r="E3" s="1967"/>
      <c r="F3" s="1967"/>
      <c r="G3" s="1967"/>
      <c r="H3" s="1967"/>
      <c r="I3" s="1967"/>
      <c r="J3" s="1967"/>
      <c r="K3" s="2131"/>
      <c r="L3" s="185"/>
      <c r="M3" s="185"/>
      <c r="N3" s="185"/>
      <c r="O3" s="185"/>
    </row>
    <row r="4" spans="1:15" s="91" customFormat="1">
      <c r="A4" s="1617"/>
      <c r="B4" s="1617"/>
      <c r="C4" s="1613"/>
      <c r="D4" s="1611"/>
      <c r="E4" s="1611"/>
      <c r="F4" s="1611"/>
      <c r="G4" s="1618"/>
      <c r="H4" s="1611"/>
      <c r="I4" s="1619"/>
      <c r="J4" s="1611"/>
      <c r="K4" s="671"/>
      <c r="L4" s="185"/>
      <c r="M4" s="185"/>
      <c r="N4" s="185"/>
      <c r="O4" s="185"/>
    </row>
    <row r="5" spans="1:15" s="91" customFormat="1">
      <c r="A5" s="1620"/>
      <c r="B5" s="1620"/>
      <c r="C5" s="1942" t="s">
        <v>815</v>
      </c>
      <c r="D5" s="1944"/>
      <c r="E5" s="1944"/>
      <c r="F5" s="1944"/>
      <c r="G5" s="1944"/>
      <c r="H5" s="1944"/>
      <c r="I5" s="1944"/>
      <c r="J5" s="1944"/>
      <c r="K5" s="2029"/>
      <c r="L5" s="185"/>
      <c r="M5" s="185"/>
      <c r="N5" s="185"/>
      <c r="O5" s="185"/>
    </row>
    <row r="6" spans="1:15" s="91" customFormat="1">
      <c r="A6" s="1621"/>
      <c r="B6" s="1621"/>
      <c r="C6" s="2014" t="str">
        <f>CONCATENATE("Test Year ",TestYear)</f>
        <v>Test Year 2015</v>
      </c>
      <c r="D6" s="2015"/>
      <c r="E6" s="2015"/>
      <c r="F6" s="2015"/>
      <c r="G6" s="2015"/>
      <c r="H6" s="2015"/>
      <c r="I6" s="2015"/>
      <c r="J6" s="2015"/>
      <c r="K6" s="2029"/>
      <c r="L6" s="185"/>
      <c r="M6" s="185"/>
      <c r="N6" s="185"/>
      <c r="O6" s="185"/>
    </row>
    <row r="7" spans="1:15" ht="12.75" customHeight="1">
      <c r="A7" s="460"/>
      <c r="B7" s="460"/>
      <c r="C7" s="2132" t="s">
        <v>816</v>
      </c>
      <c r="D7" s="2133"/>
      <c r="E7" s="2133"/>
      <c r="F7" s="2133"/>
      <c r="G7" s="2133"/>
      <c r="H7" s="2133"/>
      <c r="I7" s="2133"/>
      <c r="J7" s="2133"/>
      <c r="K7" s="2133"/>
      <c r="L7" s="1622"/>
      <c r="M7" s="460"/>
      <c r="N7" s="460"/>
      <c r="O7" s="460"/>
    </row>
    <row r="8" spans="1:15" ht="12.75" customHeight="1" thickBot="1">
      <c r="A8" s="460"/>
      <c r="B8" s="460"/>
      <c r="C8" s="2134" t="s">
        <v>817</v>
      </c>
      <c r="D8" s="2135"/>
      <c r="E8" s="2135"/>
      <c r="F8" s="2135"/>
      <c r="G8" s="2135"/>
      <c r="H8" s="2135"/>
      <c r="I8" s="2135"/>
      <c r="J8" s="2135"/>
      <c r="K8" s="2135"/>
      <c r="L8" s="1622"/>
      <c r="M8" s="460"/>
      <c r="N8" s="460"/>
      <c r="O8" s="460"/>
    </row>
    <row r="9" spans="1:15" ht="14.65" customHeight="1" thickTop="1">
      <c r="A9" s="187"/>
      <c r="B9" s="1668"/>
      <c r="C9" s="654"/>
      <c r="D9" s="654"/>
      <c r="E9" s="654"/>
      <c r="F9" s="654"/>
      <c r="G9" s="1669"/>
      <c r="H9" s="1670"/>
      <c r="I9" s="1671"/>
      <c r="J9" s="1670"/>
      <c r="K9" s="1137"/>
      <c r="L9" s="1672"/>
      <c r="M9" s="460"/>
      <c r="N9" s="460"/>
      <c r="O9" s="460"/>
    </row>
    <row r="10" spans="1:15" ht="14.65" customHeight="1">
      <c r="A10" s="187"/>
      <c r="B10" s="1609"/>
      <c r="C10" s="1673" t="s">
        <v>818</v>
      </c>
      <c r="D10" s="514"/>
      <c r="E10" s="514"/>
      <c r="F10" s="514"/>
      <c r="G10" s="1644"/>
      <c r="H10" s="1664"/>
      <c r="I10" s="1665"/>
      <c r="J10" s="1664"/>
      <c r="K10" s="1360"/>
      <c r="L10" s="1674"/>
      <c r="M10" s="460"/>
      <c r="N10" s="460"/>
      <c r="O10" s="460"/>
    </row>
    <row r="11" spans="1:15">
      <c r="A11" s="460"/>
      <c r="B11" s="548"/>
      <c r="C11" s="1675"/>
      <c r="D11" s="491"/>
      <c r="E11" s="491"/>
      <c r="F11" s="491"/>
      <c r="G11" s="1676" t="s">
        <v>819</v>
      </c>
      <c r="H11" s="529"/>
      <c r="I11" s="1677"/>
      <c r="J11" s="529"/>
      <c r="K11" s="489"/>
      <c r="L11" s="501"/>
      <c r="M11" s="460"/>
      <c r="N11" s="460"/>
      <c r="O11" s="460"/>
    </row>
    <row r="12" spans="1:15">
      <c r="A12" s="460"/>
      <c r="B12" s="548"/>
      <c r="C12" s="1612" t="s">
        <v>395</v>
      </c>
      <c r="D12" s="983"/>
      <c r="E12" s="983"/>
      <c r="F12" s="983"/>
      <c r="G12" s="1676" t="s">
        <v>820</v>
      </c>
      <c r="H12" s="983"/>
      <c r="I12" s="2136" t="s">
        <v>656</v>
      </c>
      <c r="J12" s="2137"/>
      <c r="K12" s="2137"/>
      <c r="L12" s="501"/>
      <c r="M12" s="460"/>
      <c r="N12" s="460"/>
      <c r="O12" s="460"/>
    </row>
    <row r="13" spans="1:15">
      <c r="A13" s="460"/>
      <c r="B13" s="548"/>
      <c r="C13" s="1678" t="s">
        <v>397</v>
      </c>
      <c r="D13" s="2138" t="s">
        <v>398</v>
      </c>
      <c r="E13" s="2138"/>
      <c r="F13" s="2138"/>
      <c r="G13" s="1679" t="s">
        <v>255</v>
      </c>
      <c r="H13" s="983"/>
      <c r="I13" s="1680" t="s">
        <v>307</v>
      </c>
      <c r="J13" s="983"/>
      <c r="K13" s="1681" t="s">
        <v>821</v>
      </c>
      <c r="L13" s="501"/>
      <c r="M13" s="460"/>
      <c r="N13" s="460"/>
      <c r="O13" s="460"/>
    </row>
    <row r="14" spans="1:15">
      <c r="A14" s="460"/>
      <c r="B14" s="548"/>
      <c r="C14" s="489"/>
      <c r="D14" s="2128" t="s">
        <v>1016</v>
      </c>
      <c r="E14" s="2129"/>
      <c r="F14" s="2129"/>
      <c r="G14" s="1682"/>
      <c r="H14" s="489"/>
      <c r="I14" s="1683"/>
      <c r="J14" s="489"/>
      <c r="K14" s="1684"/>
      <c r="L14" s="501"/>
      <c r="M14" s="460"/>
      <c r="N14" s="460"/>
      <c r="O14" s="460"/>
    </row>
    <row r="15" spans="1:15">
      <c r="A15" s="460"/>
      <c r="B15" s="548"/>
      <c r="C15" s="1666"/>
      <c r="D15" s="2053" t="str">
        <f>IFERROR(VLOOKUP(C15,Attach11!$B$12:$C$83,2,FALSE),"")</f>
        <v/>
      </c>
      <c r="E15" s="2053"/>
      <c r="F15" s="2053"/>
      <c r="G15" s="174">
        <v>0</v>
      </c>
      <c r="H15" s="489"/>
      <c r="I15" s="1647">
        <v>0</v>
      </c>
      <c r="J15" s="489"/>
      <c r="K15" s="1648">
        <f>ROUND(G15*I15,0)</f>
        <v>0</v>
      </c>
      <c r="L15" s="501"/>
      <c r="M15" s="460"/>
      <c r="N15" s="460"/>
      <c r="O15" s="460"/>
    </row>
    <row r="16" spans="1:15">
      <c r="A16" s="460"/>
      <c r="B16" s="548"/>
      <c r="C16" s="1666"/>
      <c r="D16" s="2053" t="str">
        <f>IFERROR(VLOOKUP(C16,Attach11!$B$12:$C$83,2,FALSE),"")</f>
        <v/>
      </c>
      <c r="E16" s="2053"/>
      <c r="F16" s="2053"/>
      <c r="G16" s="174">
        <v>0</v>
      </c>
      <c r="H16" s="489"/>
      <c r="I16" s="1647">
        <v>0</v>
      </c>
      <c r="J16" s="489"/>
      <c r="K16" s="1649">
        <f>ROUND(G16*I16,0)</f>
        <v>0</v>
      </c>
      <c r="L16" s="501"/>
      <c r="M16" s="460"/>
      <c r="N16" s="460"/>
      <c r="O16" s="460"/>
    </row>
    <row r="17" spans="1:15">
      <c r="A17" s="460"/>
      <c r="B17" s="548"/>
      <c r="C17" s="1666"/>
      <c r="D17" s="2053" t="str">
        <f>IFERROR(VLOOKUP(C17,Attach11!$B$12:$C$83,2,FALSE),"")</f>
        <v/>
      </c>
      <c r="E17" s="2053"/>
      <c r="F17" s="2053"/>
      <c r="G17" s="174">
        <v>0</v>
      </c>
      <c r="H17" s="489"/>
      <c r="I17" s="1647">
        <v>0</v>
      </c>
      <c r="J17" s="489"/>
      <c r="K17" s="1649">
        <f>ROUND(G17*I17,0)</f>
        <v>0</v>
      </c>
      <c r="L17" s="501"/>
      <c r="M17" s="460"/>
      <c r="N17" s="460"/>
      <c r="O17" s="460"/>
    </row>
    <row r="18" spans="1:15">
      <c r="A18" s="460"/>
      <c r="B18" s="548"/>
      <c r="C18" s="1666"/>
      <c r="D18" s="2053" t="str">
        <f>IFERROR(VLOOKUP(C18,Attach11!$B$12:$C$83,2,FALSE),"")</f>
        <v/>
      </c>
      <c r="E18" s="2053"/>
      <c r="F18" s="2053"/>
      <c r="G18" s="174">
        <v>0</v>
      </c>
      <c r="H18" s="489"/>
      <c r="I18" s="1647">
        <v>0</v>
      </c>
      <c r="J18" s="489"/>
      <c r="K18" s="1649">
        <f>ROUND(G18*I18,0)</f>
        <v>0</v>
      </c>
      <c r="L18" s="501"/>
      <c r="M18" s="460"/>
      <c r="N18" s="460"/>
      <c r="O18" s="460"/>
    </row>
    <row r="19" spans="1:15">
      <c r="A19" s="460"/>
      <c r="B19" s="548"/>
      <c r="C19" s="1666"/>
      <c r="D19" s="2053" t="str">
        <f>IFERROR(VLOOKUP(C19,Attach11!$B$12:$C$83,2,FALSE),"")</f>
        <v/>
      </c>
      <c r="E19" s="2053"/>
      <c r="F19" s="2053"/>
      <c r="G19" s="174">
        <v>0</v>
      </c>
      <c r="H19" s="489"/>
      <c r="I19" s="1647">
        <v>0</v>
      </c>
      <c r="J19" s="489"/>
      <c r="K19" s="1649">
        <f>ROUND(G19*I19,0)</f>
        <v>0</v>
      </c>
      <c r="L19" s="501"/>
      <c r="M19" s="460"/>
      <c r="N19" s="460"/>
      <c r="O19" s="460"/>
    </row>
    <row r="20" spans="1:15" ht="13.5" thickBot="1">
      <c r="A20" s="460"/>
      <c r="B20" s="548"/>
      <c r="C20" s="529"/>
      <c r="D20" s="2130" t="s">
        <v>822</v>
      </c>
      <c r="E20" s="2130"/>
      <c r="F20" s="2130"/>
      <c r="G20" s="1628">
        <f>SUM(G15:G19)</f>
        <v>0</v>
      </c>
      <c r="H20" s="489"/>
      <c r="I20" s="1685"/>
      <c r="J20" s="488" t="s">
        <v>823</v>
      </c>
      <c r="K20" s="1646">
        <f>SUM(K15:K19)</f>
        <v>0</v>
      </c>
      <c r="L20" s="501"/>
      <c r="M20" s="460"/>
      <c r="N20" s="460"/>
      <c r="O20" s="460"/>
    </row>
    <row r="21" spans="1:15" ht="13.5" thickTop="1">
      <c r="A21" s="460"/>
      <c r="B21" s="548"/>
      <c r="C21" s="514"/>
      <c r="D21" s="2128" t="s">
        <v>824</v>
      </c>
      <c r="E21" s="2129"/>
      <c r="F21" s="2129"/>
      <c r="G21" s="2129"/>
      <c r="H21" s="489"/>
      <c r="I21" s="1685"/>
      <c r="J21" s="489"/>
      <c r="K21" s="489"/>
      <c r="L21" s="501"/>
      <c r="M21" s="460"/>
      <c r="N21" s="460"/>
      <c r="O21" s="460"/>
    </row>
    <row r="22" spans="1:15">
      <c r="A22" s="460"/>
      <c r="B22" s="548"/>
      <c r="C22" s="1667"/>
      <c r="D22" s="2053" t="str">
        <f>IFERROR(VLOOKUP(C22,Attach11!$B$12:$C$83,2,FALSE),"")</f>
        <v/>
      </c>
      <c r="E22" s="2053"/>
      <c r="F22" s="2053"/>
      <c r="G22" s="1775">
        <v>0</v>
      </c>
      <c r="H22" s="489"/>
      <c r="I22" s="1685"/>
      <c r="J22" s="489"/>
      <c r="K22" s="1686"/>
      <c r="L22" s="501"/>
      <c r="M22" s="460"/>
      <c r="N22" s="460"/>
      <c r="O22" s="460"/>
    </row>
    <row r="23" spans="1:15">
      <c r="A23" s="460"/>
      <c r="B23" s="548"/>
      <c r="C23" s="1667"/>
      <c r="D23" s="2053" t="str">
        <f>IFERROR(VLOOKUP(C23,Attach11!$B$12:$C$83,2,FALSE),"")</f>
        <v/>
      </c>
      <c r="E23" s="2053"/>
      <c r="F23" s="2053"/>
      <c r="G23" s="174">
        <v>0</v>
      </c>
      <c r="H23" s="489"/>
      <c r="I23" s="1685"/>
      <c r="J23" s="489"/>
      <c r="K23" s="1686"/>
      <c r="L23" s="501"/>
      <c r="M23" s="460"/>
      <c r="N23" s="460"/>
      <c r="O23" s="460"/>
    </row>
    <row r="24" spans="1:15">
      <c r="A24" s="460"/>
      <c r="B24" s="548"/>
      <c r="C24" s="1667"/>
      <c r="D24" s="2053" t="str">
        <f>IFERROR(VLOOKUP(C24,Attach11!$B$12:$C$83,2,FALSE),"")</f>
        <v/>
      </c>
      <c r="E24" s="2053"/>
      <c r="F24" s="2053"/>
      <c r="G24" s="174">
        <v>0</v>
      </c>
      <c r="H24" s="514"/>
      <c r="I24" s="1645"/>
      <c r="J24" s="514"/>
      <c r="K24" s="1687"/>
      <c r="L24" s="501"/>
      <c r="M24" s="460"/>
      <c r="N24" s="460"/>
      <c r="O24" s="460"/>
    </row>
    <row r="25" spans="1:15">
      <c r="A25" s="460"/>
      <c r="B25" s="548"/>
      <c r="C25" s="1667"/>
      <c r="D25" s="2053" t="str">
        <f>IFERROR(VLOOKUP(C25,Attach11!$B$12:$C$83,2,FALSE),"")</f>
        <v/>
      </c>
      <c r="E25" s="2053"/>
      <c r="F25" s="2053"/>
      <c r="G25" s="174">
        <v>0</v>
      </c>
      <c r="H25" s="514"/>
      <c r="I25" s="1645"/>
      <c r="J25" s="514"/>
      <c r="K25" s="1687"/>
      <c r="L25" s="501"/>
      <c r="M25" s="460"/>
      <c r="N25" s="460"/>
      <c r="O25" s="460"/>
    </row>
    <row r="26" spans="1:15">
      <c r="A26" s="460"/>
      <c r="B26" s="548"/>
      <c r="C26" s="1667"/>
      <c r="D26" s="2053" t="str">
        <f>IFERROR(VLOOKUP(C26,Attach11!$B$12:$C$83,2,FALSE),"")</f>
        <v/>
      </c>
      <c r="E26" s="2053"/>
      <c r="F26" s="2053"/>
      <c r="G26" s="174">
        <v>0</v>
      </c>
      <c r="H26" s="514"/>
      <c r="I26" s="1645"/>
      <c r="J26" s="1688"/>
      <c r="K26" s="1687"/>
      <c r="L26" s="501"/>
      <c r="M26" s="460"/>
      <c r="N26" s="460"/>
      <c r="O26" s="460"/>
    </row>
    <row r="27" spans="1:15">
      <c r="A27" s="460"/>
      <c r="B27" s="548"/>
      <c r="C27" s="514"/>
      <c r="D27" s="2130" t="s">
        <v>825</v>
      </c>
      <c r="E27" s="2130"/>
      <c r="F27" s="2130"/>
      <c r="G27" s="1629">
        <f>SUM(G22:G26)</f>
        <v>0</v>
      </c>
      <c r="H27" s="514"/>
      <c r="I27" s="1645"/>
      <c r="J27" s="514"/>
      <c r="K27" s="1360"/>
      <c r="L27" s="501"/>
      <c r="M27" s="460"/>
      <c r="N27" s="460"/>
      <c r="O27" s="460"/>
    </row>
    <row r="28" spans="1:15">
      <c r="A28" s="460"/>
      <c r="B28" s="548"/>
      <c r="C28" s="983"/>
      <c r="D28" s="1689"/>
      <c r="E28" s="1689"/>
      <c r="F28" s="1690" t="s">
        <v>1020</v>
      </c>
      <c r="G28" s="1650">
        <f>G20+G27</f>
        <v>0</v>
      </c>
      <c r="H28" s="514"/>
      <c r="I28" s="1645"/>
      <c r="J28" s="514"/>
      <c r="K28" s="514"/>
      <c r="L28" s="501"/>
      <c r="M28" s="460"/>
      <c r="N28" s="460"/>
      <c r="O28" s="460"/>
    </row>
    <row r="29" spans="1:15">
      <c r="A29" s="460"/>
      <c r="B29" s="548"/>
      <c r="C29" s="489"/>
      <c r="D29" s="983"/>
      <c r="E29" s="983"/>
      <c r="F29" s="488" t="s">
        <v>1018</v>
      </c>
      <c r="G29" s="1653">
        <v>0</v>
      </c>
      <c r="H29" s="514"/>
      <c r="I29" s="1645"/>
      <c r="J29" s="514"/>
      <c r="K29" s="514"/>
      <c r="L29" s="501"/>
      <c r="M29" s="460"/>
      <c r="N29" s="460"/>
      <c r="O29" s="460"/>
    </row>
    <row r="30" spans="1:15">
      <c r="A30" s="460"/>
      <c r="B30" s="548"/>
      <c r="C30" s="489"/>
      <c r="D30" s="489"/>
      <c r="E30" s="489"/>
      <c r="F30" s="1690" t="s">
        <v>1019</v>
      </c>
      <c r="G30" s="1650">
        <f>G28-G29</f>
        <v>0</v>
      </c>
      <c r="H30" s="514"/>
      <c r="I30" s="1645"/>
      <c r="J30" s="514"/>
      <c r="K30" s="514"/>
      <c r="L30" s="501"/>
      <c r="M30" s="460"/>
      <c r="N30" s="460"/>
      <c r="O30" s="460"/>
    </row>
    <row r="31" spans="1:15">
      <c r="A31" s="460"/>
      <c r="B31" s="548"/>
      <c r="C31" s="1684"/>
      <c r="D31" s="489"/>
      <c r="E31" s="489"/>
      <c r="F31" s="489"/>
      <c r="G31" s="1656"/>
      <c r="H31" s="514"/>
      <c r="I31" s="1645"/>
      <c r="J31" s="514"/>
      <c r="K31" s="514"/>
      <c r="L31" s="501"/>
      <c r="M31" s="460"/>
      <c r="N31" s="460"/>
      <c r="O31" s="460"/>
    </row>
    <row r="32" spans="1:15">
      <c r="A32" s="460"/>
      <c r="B32" s="548"/>
      <c r="C32" s="489" t="s">
        <v>1021</v>
      </c>
      <c r="D32" s="489"/>
      <c r="E32" s="489"/>
      <c r="F32" s="489"/>
      <c r="G32" s="1651">
        <f>Attach9!H35</f>
        <v>0.97699999999999998</v>
      </c>
      <c r="H32" s="514"/>
      <c r="I32" s="1645"/>
      <c r="J32" s="514"/>
      <c r="K32" s="514"/>
      <c r="L32" s="501"/>
      <c r="M32" s="460"/>
      <c r="N32" s="460"/>
      <c r="O32" s="460"/>
    </row>
    <row r="33" spans="1:15">
      <c r="A33" s="460"/>
      <c r="B33" s="548"/>
      <c r="C33" s="489" t="s">
        <v>1022</v>
      </c>
      <c r="D33" s="489"/>
      <c r="E33" s="489"/>
      <c r="F33" s="489"/>
      <c r="G33" s="1652">
        <f>Attach9!H38</f>
        <v>22.609838780418247</v>
      </c>
      <c r="H33" s="514"/>
      <c r="I33" s="1645"/>
      <c r="J33" s="514"/>
      <c r="K33" s="514"/>
      <c r="L33" s="501"/>
      <c r="M33" s="460"/>
      <c r="N33" s="460"/>
      <c r="O33" s="460"/>
    </row>
    <row r="34" spans="1:15">
      <c r="A34" s="460"/>
      <c r="B34" s="548"/>
      <c r="C34" s="489"/>
      <c r="D34" s="489"/>
      <c r="E34" s="489"/>
      <c r="F34" s="489"/>
      <c r="G34" s="489"/>
      <c r="H34" s="514"/>
      <c r="I34" s="1645"/>
      <c r="J34" s="514"/>
      <c r="K34" s="514"/>
      <c r="L34" s="501"/>
      <c r="M34" s="460"/>
      <c r="N34" s="460"/>
      <c r="O34" s="460"/>
    </row>
    <row r="35" spans="1:15">
      <c r="A35" s="460"/>
      <c r="B35" s="548"/>
      <c r="C35" s="673" t="s">
        <v>826</v>
      </c>
      <c r="D35" s="1237"/>
      <c r="E35" s="735"/>
      <c r="F35" s="1510"/>
      <c r="G35" s="1691"/>
      <c r="H35" s="1654">
        <f>ROUND((G30*G32*G33)/1000,0)</f>
        <v>0</v>
      </c>
      <c r="I35" s="1630"/>
      <c r="J35" s="514"/>
      <c r="K35" s="514"/>
      <c r="L35" s="501"/>
      <c r="M35" s="460"/>
      <c r="N35" s="460"/>
      <c r="O35" s="460"/>
    </row>
    <row r="36" spans="1:15">
      <c r="A36" s="460"/>
      <c r="B36" s="548"/>
      <c r="C36" s="673" t="s">
        <v>827</v>
      </c>
      <c r="D36" s="1237"/>
      <c r="E36" s="735"/>
      <c r="F36" s="1510"/>
      <c r="G36" s="1691"/>
      <c r="H36" s="1655">
        <f>Attach9!H40</f>
        <v>6437627.6916484153</v>
      </c>
      <c r="I36" s="1645"/>
      <c r="J36" s="514"/>
      <c r="K36" s="514"/>
      <c r="L36" s="501"/>
      <c r="M36" s="460"/>
      <c r="N36" s="460"/>
      <c r="O36" s="460"/>
    </row>
    <row r="37" spans="1:15">
      <c r="A37" s="460"/>
      <c r="B37" s="548"/>
      <c r="C37" s="673"/>
      <c r="D37" s="1237"/>
      <c r="E37" s="735"/>
      <c r="F37" s="1510"/>
      <c r="G37" s="1691"/>
      <c r="H37" s="1656"/>
      <c r="I37" s="1645"/>
      <c r="J37" s="514"/>
      <c r="K37" s="514"/>
      <c r="L37" s="501"/>
      <c r="M37" s="460"/>
      <c r="N37" s="460"/>
      <c r="O37" s="460"/>
    </row>
    <row r="38" spans="1:15">
      <c r="A38" s="460"/>
      <c r="B38" s="548"/>
      <c r="C38" s="673" t="s">
        <v>828</v>
      </c>
      <c r="D38" s="1237"/>
      <c r="E38" s="735"/>
      <c r="F38" s="1510"/>
      <c r="G38" s="1691"/>
      <c r="H38" s="1657">
        <f>ROUND(SUM(H35:H36),0)</f>
        <v>6437628</v>
      </c>
      <c r="I38" s="1645"/>
      <c r="J38" s="514"/>
      <c r="K38" s="514"/>
      <c r="L38" s="501"/>
      <c r="M38" s="460"/>
      <c r="N38" s="460"/>
      <c r="O38" s="460"/>
    </row>
    <row r="39" spans="1:15">
      <c r="A39" s="460"/>
      <c r="B39" s="548"/>
      <c r="C39" s="673"/>
      <c r="D39" s="1237"/>
      <c r="E39" s="735"/>
      <c r="F39" s="1510"/>
      <c r="G39" s="1691"/>
      <c r="H39" s="1658"/>
      <c r="I39" s="1645"/>
      <c r="J39" s="514"/>
      <c r="K39" s="514"/>
      <c r="L39" s="501"/>
      <c r="M39" s="460"/>
      <c r="N39" s="460"/>
      <c r="O39" s="460"/>
    </row>
    <row r="40" spans="1:15">
      <c r="A40" s="460"/>
      <c r="B40" s="548"/>
      <c r="C40" s="533" t="s">
        <v>829</v>
      </c>
      <c r="D40" s="533"/>
      <c r="E40" s="533"/>
      <c r="F40" s="533"/>
      <c r="G40" s="533"/>
      <c r="H40" s="518">
        <f>Attach9!H41</f>
        <v>2077440</v>
      </c>
      <c r="I40" s="1645"/>
      <c r="J40" s="514"/>
      <c r="K40" s="514"/>
      <c r="L40" s="501"/>
      <c r="M40" s="460"/>
      <c r="N40" s="460"/>
      <c r="O40" s="460"/>
    </row>
    <row r="41" spans="1:15">
      <c r="A41" s="460"/>
      <c r="B41" s="548"/>
      <c r="C41" s="533"/>
      <c r="D41" s="533"/>
      <c r="E41" s="533"/>
      <c r="F41" s="533"/>
      <c r="G41" s="533"/>
      <c r="H41" s="2139" t="str">
        <f>IF(Attach9!H42="","",Attach9!H42)</f>
        <v/>
      </c>
      <c r="I41" s="1645"/>
      <c r="J41" s="514"/>
      <c r="K41" s="514"/>
      <c r="L41" s="501"/>
      <c r="M41" s="460"/>
      <c r="N41" s="460"/>
      <c r="O41" s="460"/>
    </row>
    <row r="42" spans="1:15">
      <c r="A42" s="460"/>
      <c r="B42" s="548"/>
      <c r="C42" s="2141" t="s">
        <v>1017</v>
      </c>
      <c r="D42" s="2142"/>
      <c r="E42" s="2142"/>
      <c r="F42" s="2142"/>
      <c r="G42" s="2142"/>
      <c r="H42" s="1908"/>
      <c r="I42" s="1645"/>
      <c r="J42" s="514"/>
      <c r="K42" s="514"/>
      <c r="L42" s="501"/>
      <c r="M42" s="460"/>
      <c r="N42" s="460"/>
      <c r="O42" s="460"/>
    </row>
    <row r="43" spans="1:15">
      <c r="A43" s="460"/>
      <c r="B43" s="548"/>
      <c r="C43" s="2142"/>
      <c r="D43" s="2142"/>
      <c r="E43" s="2142"/>
      <c r="F43" s="2142"/>
      <c r="G43" s="2142"/>
      <c r="H43" s="2140"/>
      <c r="I43" s="1645"/>
      <c r="J43" s="514"/>
      <c r="K43" s="1631"/>
      <c r="L43" s="501"/>
      <c r="M43" s="460"/>
      <c r="N43" s="460"/>
      <c r="O43" s="460"/>
    </row>
    <row r="44" spans="1:15">
      <c r="A44" s="460"/>
      <c r="B44" s="548"/>
      <c r="C44" s="489"/>
      <c r="D44" s="1692"/>
      <c r="E44" s="1692"/>
      <c r="F44" s="1692"/>
      <c r="G44" s="1692"/>
      <c r="H44" s="1632"/>
      <c r="I44" s="1645"/>
      <c r="J44" s="514"/>
      <c r="K44" s="1631"/>
      <c r="L44" s="501"/>
      <c r="M44" s="460"/>
      <c r="N44" s="460"/>
      <c r="O44" s="460"/>
    </row>
    <row r="45" spans="1:15">
      <c r="A45" s="460"/>
      <c r="B45" s="548"/>
      <c r="C45" s="677" t="s">
        <v>830</v>
      </c>
      <c r="D45" s="1693"/>
      <c r="E45" s="1693"/>
      <c r="F45" s="1693"/>
      <c r="G45" s="1693"/>
      <c r="H45" s="1632"/>
      <c r="I45" s="1645"/>
      <c r="J45" s="514"/>
      <c r="K45" s="1631"/>
      <c r="L45" s="501"/>
      <c r="M45" s="460"/>
      <c r="N45" s="460"/>
      <c r="O45" s="460"/>
    </row>
    <row r="46" spans="1:15">
      <c r="A46" s="460"/>
      <c r="B46" s="548"/>
      <c r="C46" s="1694" t="s">
        <v>831</v>
      </c>
      <c r="D46" s="1693"/>
      <c r="E46" s="1693"/>
      <c r="F46" s="1693"/>
      <c r="G46" s="1693"/>
      <c r="H46" s="1503">
        <f>IF(H41="",(IF(H38&gt;H40,H38,H40)),H41)</f>
        <v>6437628</v>
      </c>
      <c r="I46" s="1633"/>
      <c r="J46" s="514"/>
      <c r="K46" s="514"/>
      <c r="L46" s="501"/>
      <c r="M46" s="460"/>
      <c r="N46" s="460"/>
      <c r="O46" s="460"/>
    </row>
    <row r="47" spans="1:15">
      <c r="A47" s="460"/>
      <c r="B47" s="548"/>
      <c r="C47" s="673" t="s">
        <v>832</v>
      </c>
      <c r="D47" s="983"/>
      <c r="E47" s="983"/>
      <c r="F47" s="489"/>
      <c r="G47" s="1691"/>
      <c r="H47" s="1659">
        <f>ROUND(IF(H46&gt;=Attach9!H43,Attach8!I23,H46/Attach9!H43*Attach8!I23),0)</f>
        <v>185938</v>
      </c>
      <c r="I47" s="1634"/>
      <c r="J47" s="514"/>
      <c r="K47" s="514"/>
      <c r="L47" s="501"/>
      <c r="M47" s="460"/>
      <c r="N47" s="460"/>
      <c r="O47" s="460"/>
    </row>
    <row r="48" spans="1:15">
      <c r="A48" s="460"/>
      <c r="B48" s="548"/>
      <c r="C48" s="489"/>
      <c r="D48" s="489"/>
      <c r="E48" s="489"/>
      <c r="F48" s="489"/>
      <c r="G48" s="1691"/>
      <c r="H48" s="489"/>
      <c r="I48" s="1645"/>
      <c r="J48" s="514"/>
      <c r="K48" s="514"/>
      <c r="L48" s="501"/>
      <c r="M48" s="460"/>
      <c r="N48" s="460"/>
      <c r="O48" s="460"/>
    </row>
    <row r="49" spans="1:15" ht="13.5" thickBot="1">
      <c r="A49" s="460"/>
      <c r="B49" s="548"/>
      <c r="C49" s="673" t="s">
        <v>833</v>
      </c>
      <c r="D49" s="489"/>
      <c r="E49" s="489"/>
      <c r="F49" s="489"/>
      <c r="G49" s="1691"/>
      <c r="H49" s="517">
        <f>ROUND(IF(H46-H47&lt;0,0,H46-H47),0)</f>
        <v>6251690</v>
      </c>
      <c r="I49" s="1645"/>
      <c r="J49" s="514"/>
      <c r="K49" s="514"/>
      <c r="L49" s="501"/>
      <c r="M49" s="460"/>
      <c r="N49" s="460"/>
      <c r="O49" s="460"/>
    </row>
    <row r="50" spans="1:15" ht="13.5" thickTop="1">
      <c r="A50" s="460"/>
      <c r="B50" s="548"/>
      <c r="C50" s="731"/>
      <c r="D50" s="514"/>
      <c r="E50" s="514"/>
      <c r="F50" s="514"/>
      <c r="G50" s="1644"/>
      <c r="H50" s="514"/>
      <c r="I50" s="1645"/>
      <c r="J50" s="514"/>
      <c r="K50" s="514"/>
      <c r="L50" s="501"/>
      <c r="M50" s="460"/>
      <c r="N50" s="460"/>
      <c r="O50" s="460"/>
    </row>
    <row r="51" spans="1:15" ht="13.5" thickBot="1">
      <c r="A51" s="460"/>
      <c r="B51" s="548"/>
      <c r="C51" s="731"/>
      <c r="D51" s="514"/>
      <c r="E51" s="514"/>
      <c r="F51" s="514"/>
      <c r="G51" s="1644"/>
      <c r="H51" s="514"/>
      <c r="I51" s="1645"/>
      <c r="J51" s="514"/>
      <c r="K51" s="514"/>
      <c r="L51" s="501"/>
      <c r="M51" s="460"/>
      <c r="N51" s="460"/>
      <c r="O51" s="460"/>
    </row>
    <row r="52" spans="1:15" s="44" customFormat="1">
      <c r="A52" s="187"/>
      <c r="B52" s="1609"/>
      <c r="C52" s="1635"/>
      <c r="D52" s="1636"/>
      <c r="E52" s="1637"/>
      <c r="F52" s="1638"/>
      <c r="G52" s="1660"/>
      <c r="H52" s="1761" t="s">
        <v>834</v>
      </c>
      <c r="I52" s="1639"/>
      <c r="J52" s="1610"/>
      <c r="K52" s="1610"/>
      <c r="L52" s="1695"/>
      <c r="M52" s="187"/>
      <c r="N52" s="187"/>
      <c r="O52" s="187"/>
    </row>
    <row r="53" spans="1:15" ht="15.6" customHeight="1">
      <c r="A53" s="460"/>
      <c r="B53" s="548"/>
      <c r="C53" s="2143" t="s">
        <v>835</v>
      </c>
      <c r="D53" s="2142"/>
      <c r="E53" s="2142"/>
      <c r="F53" s="2144"/>
      <c r="G53" s="488" t="s">
        <v>780</v>
      </c>
      <c r="H53" s="1661">
        <v>0</v>
      </c>
      <c r="I53" s="1640"/>
      <c r="J53" s="514"/>
      <c r="K53" s="514"/>
      <c r="L53" s="501"/>
      <c r="M53" s="460"/>
      <c r="N53" s="460"/>
      <c r="O53" s="460"/>
    </row>
    <row r="54" spans="1:15">
      <c r="A54" s="460"/>
      <c r="B54" s="548"/>
      <c r="C54" s="2143"/>
      <c r="D54" s="2142"/>
      <c r="E54" s="2142"/>
      <c r="F54" s="2144"/>
      <c r="G54" s="488" t="s">
        <v>338</v>
      </c>
      <c r="H54" s="1661">
        <v>0</v>
      </c>
      <c r="I54" s="1640"/>
      <c r="J54" s="514"/>
      <c r="K54" s="514"/>
      <c r="L54" s="501"/>
      <c r="M54" s="460"/>
      <c r="N54" s="460"/>
      <c r="O54" s="460"/>
    </row>
    <row r="55" spans="1:15" ht="13.5" thickBot="1">
      <c r="A55" s="460"/>
      <c r="B55" s="548"/>
      <c r="C55" s="1641"/>
      <c r="D55" s="1626"/>
      <c r="E55" s="1626"/>
      <c r="F55" s="1642"/>
      <c r="G55" s="1627"/>
      <c r="H55" s="1626"/>
      <c r="I55" s="1643"/>
      <c r="J55" s="514"/>
      <c r="K55" s="514"/>
      <c r="L55" s="501"/>
      <c r="M55" s="460"/>
      <c r="N55" s="460"/>
      <c r="O55" s="460"/>
    </row>
    <row r="56" spans="1:15">
      <c r="A56" s="460"/>
      <c r="B56" s="548"/>
      <c r="C56" s="514"/>
      <c r="D56" s="514"/>
      <c r="E56" s="514"/>
      <c r="F56" s="514"/>
      <c r="G56" s="1644"/>
      <c r="H56" s="514"/>
      <c r="I56" s="1645"/>
      <c r="J56" s="514"/>
      <c r="K56" s="514"/>
      <c r="L56" s="501"/>
      <c r="M56" s="460"/>
      <c r="N56" s="460"/>
      <c r="O56" s="460"/>
    </row>
    <row r="57" spans="1:15" ht="13.5" thickBot="1">
      <c r="A57" s="1625"/>
      <c r="B57" s="1696"/>
      <c r="C57" s="551"/>
      <c r="D57" s="551"/>
      <c r="E57" s="551"/>
      <c r="F57" s="551"/>
      <c r="G57" s="1697"/>
      <c r="H57" s="551"/>
      <c r="I57" s="1698"/>
      <c r="J57" s="551"/>
      <c r="K57" s="551"/>
      <c r="L57" s="508"/>
      <c r="M57" s="460"/>
      <c r="N57" s="460"/>
      <c r="O57" s="460"/>
    </row>
    <row r="58" spans="1:15" ht="13.5" thickTop="1">
      <c r="A58" s="460"/>
      <c r="B58" s="460"/>
      <c r="C58" s="470"/>
      <c r="D58" s="187"/>
      <c r="E58" s="187"/>
      <c r="F58" s="187"/>
      <c r="G58" s="187"/>
      <c r="H58" s="187"/>
      <c r="I58" s="187"/>
      <c r="J58" s="187"/>
      <c r="K58" s="187"/>
      <c r="L58" s="460"/>
      <c r="M58" s="460"/>
      <c r="N58" s="460"/>
      <c r="O58" s="460"/>
    </row>
    <row r="59" spans="1:15" ht="15.75" customHeight="1">
      <c r="A59" s="460"/>
      <c r="B59" s="460"/>
      <c r="C59" s="187"/>
      <c r="D59" s="187"/>
      <c r="E59" s="187"/>
      <c r="F59" s="187"/>
      <c r="G59" s="187"/>
      <c r="H59" s="187"/>
      <c r="I59" s="187"/>
      <c r="J59" s="187"/>
      <c r="K59" s="187"/>
      <c r="L59" s="460"/>
      <c r="M59" s="460"/>
      <c r="N59" s="460"/>
      <c r="O59" s="460"/>
    </row>
    <row r="60" spans="1:15" ht="15.75" customHeight="1">
      <c r="A60" s="460"/>
      <c r="B60" s="460"/>
      <c r="C60" s="187"/>
      <c r="D60" s="187"/>
      <c r="E60" s="187"/>
      <c r="F60" s="187"/>
      <c r="G60" s="187"/>
      <c r="H60" s="187"/>
      <c r="I60" s="187"/>
      <c r="J60" s="187"/>
      <c r="K60" s="187"/>
      <c r="L60" s="460"/>
      <c r="M60" s="460"/>
      <c r="N60" s="460"/>
      <c r="O60" s="460"/>
    </row>
    <row r="61" spans="1:15">
      <c r="A61" s="460"/>
      <c r="B61" s="460"/>
      <c r="C61" s="460"/>
      <c r="D61" s="460"/>
      <c r="E61" s="460"/>
      <c r="F61" s="460"/>
      <c r="G61" s="1624"/>
      <c r="H61" s="460"/>
      <c r="I61" s="1623"/>
      <c r="J61" s="460"/>
      <c r="K61" s="460"/>
      <c r="L61" s="460"/>
      <c r="M61" s="460"/>
      <c r="N61" s="460"/>
      <c r="O61" s="460"/>
    </row>
    <row r="62" spans="1:15">
      <c r="A62" s="460"/>
      <c r="B62" s="460"/>
      <c r="C62" s="460"/>
      <c r="D62" s="460"/>
      <c r="E62" s="460"/>
      <c r="F62" s="460"/>
      <c r="G62" s="1624"/>
      <c r="H62" s="460"/>
      <c r="I62" s="1623"/>
      <c r="J62" s="460"/>
      <c r="K62" s="460"/>
      <c r="L62" s="460"/>
      <c r="M62" s="460"/>
      <c r="N62" s="460"/>
      <c r="O62" s="460"/>
    </row>
    <row r="63" spans="1:15">
      <c r="A63" s="460"/>
      <c r="B63" s="460"/>
      <c r="C63" s="460"/>
      <c r="D63" s="460"/>
      <c r="E63" s="460"/>
      <c r="F63" s="460"/>
      <c r="G63" s="1624"/>
      <c r="H63" s="460"/>
      <c r="I63" s="1623"/>
      <c r="J63" s="460"/>
      <c r="K63" s="460"/>
      <c r="L63" s="460"/>
      <c r="M63" s="460"/>
      <c r="N63" s="460"/>
      <c r="O63" s="460"/>
    </row>
    <row r="64" spans="1:15">
      <c r="A64" s="460"/>
      <c r="B64" s="460"/>
      <c r="C64" s="460"/>
      <c r="D64" s="460"/>
      <c r="E64" s="460"/>
      <c r="F64" s="460"/>
      <c r="G64" s="1624"/>
      <c r="H64" s="460"/>
      <c r="I64" s="1623"/>
      <c r="J64" s="460"/>
      <c r="K64" s="460"/>
      <c r="L64" s="460"/>
      <c r="M64" s="460"/>
      <c r="N64" s="460"/>
      <c r="O64" s="460"/>
    </row>
    <row r="65" spans="1:15">
      <c r="A65" s="460"/>
      <c r="B65" s="460"/>
      <c r="C65" s="460"/>
      <c r="D65" s="460"/>
      <c r="E65" s="460"/>
      <c r="F65" s="460"/>
      <c r="G65" s="1624"/>
      <c r="H65" s="460"/>
      <c r="I65" s="1623"/>
      <c r="J65" s="460"/>
      <c r="K65" s="460"/>
      <c r="L65" s="460"/>
      <c r="M65" s="460"/>
      <c r="N65" s="460"/>
      <c r="O65" s="460"/>
    </row>
    <row r="66" spans="1:15">
      <c r="A66" s="460"/>
      <c r="B66" s="460"/>
      <c r="C66" s="460"/>
      <c r="D66" s="460"/>
      <c r="E66" s="460"/>
      <c r="F66" s="460"/>
      <c r="G66" s="1624"/>
      <c r="H66" s="460"/>
      <c r="I66" s="1623"/>
      <c r="J66" s="460"/>
      <c r="K66" s="460"/>
      <c r="L66" s="460"/>
      <c r="M66" s="460"/>
      <c r="N66" s="460"/>
      <c r="O66" s="460"/>
    </row>
    <row r="67" spans="1:15">
      <c r="A67" s="460"/>
      <c r="B67" s="460"/>
      <c r="C67" s="460"/>
      <c r="D67" s="460"/>
      <c r="E67" s="460"/>
      <c r="F67" s="460"/>
      <c r="G67" s="1624"/>
      <c r="H67" s="460"/>
      <c r="I67" s="1623"/>
      <c r="J67" s="460"/>
      <c r="K67" s="460"/>
      <c r="L67" s="460"/>
      <c r="M67" s="460"/>
      <c r="N67" s="460"/>
      <c r="O67" s="460"/>
    </row>
    <row r="68" spans="1:15">
      <c r="A68" s="460"/>
      <c r="B68" s="460"/>
      <c r="C68" s="460"/>
      <c r="D68" s="460"/>
      <c r="E68" s="460"/>
      <c r="F68" s="460"/>
      <c r="G68" s="1624"/>
      <c r="H68" s="460"/>
      <c r="I68" s="1623"/>
      <c r="J68" s="460"/>
      <c r="K68" s="460"/>
      <c r="L68" s="460"/>
      <c r="M68" s="460"/>
      <c r="N68" s="460"/>
      <c r="O68" s="460"/>
    </row>
    <row r="69" spans="1:15">
      <c r="A69" s="460"/>
      <c r="B69" s="460"/>
      <c r="C69" s="460"/>
      <c r="D69" s="460"/>
      <c r="E69" s="460"/>
      <c r="F69" s="460"/>
      <c r="G69" s="1624"/>
      <c r="H69" s="460"/>
      <c r="I69" s="1623"/>
      <c r="J69" s="460"/>
      <c r="K69" s="460"/>
      <c r="L69" s="460"/>
      <c r="M69" s="460"/>
      <c r="N69" s="460"/>
      <c r="O69" s="460"/>
    </row>
    <row r="70" spans="1:15">
      <c r="A70" s="460"/>
      <c r="B70" s="460"/>
      <c r="C70" s="460"/>
      <c r="D70" s="460"/>
      <c r="E70" s="460"/>
      <c r="F70" s="460"/>
      <c r="G70" s="1624"/>
      <c r="H70" s="460"/>
      <c r="I70" s="1623"/>
      <c r="J70" s="460"/>
      <c r="K70" s="460"/>
      <c r="L70" s="460"/>
      <c r="M70" s="460"/>
      <c r="N70" s="460"/>
      <c r="O70" s="460"/>
    </row>
    <row r="71" spans="1:15">
      <c r="A71" s="460"/>
      <c r="B71" s="460"/>
      <c r="C71" s="460"/>
      <c r="D71" s="460"/>
      <c r="E71" s="460"/>
      <c r="F71" s="460"/>
      <c r="G71" s="1624"/>
      <c r="H71" s="460"/>
      <c r="I71" s="1623"/>
      <c r="J71" s="460"/>
      <c r="K71" s="460"/>
      <c r="L71" s="460"/>
      <c r="M71" s="460"/>
      <c r="N71" s="460"/>
      <c r="O71" s="460"/>
    </row>
    <row r="72" spans="1:15">
      <c r="A72" s="460"/>
      <c r="B72" s="460"/>
      <c r="C72" s="460"/>
      <c r="D72" s="460"/>
      <c r="E72" s="460"/>
      <c r="F72" s="460"/>
      <c r="G72" s="1624"/>
      <c r="H72" s="460"/>
      <c r="I72" s="1623"/>
      <c r="J72" s="460"/>
      <c r="K72" s="460"/>
      <c r="L72" s="460"/>
      <c r="M72" s="460"/>
      <c r="N72" s="460"/>
      <c r="O72" s="460"/>
    </row>
    <row r="73" spans="1:15">
      <c r="A73" s="460"/>
      <c r="B73" s="460"/>
      <c r="C73" s="460"/>
      <c r="D73" s="460"/>
      <c r="E73" s="460"/>
      <c r="F73" s="460"/>
      <c r="G73" s="1624"/>
      <c r="H73" s="460"/>
      <c r="I73" s="1623"/>
      <c r="J73" s="460"/>
      <c r="K73" s="460"/>
      <c r="L73" s="460"/>
      <c r="M73" s="460"/>
      <c r="N73" s="460"/>
      <c r="O73" s="460"/>
    </row>
    <row r="74" spans="1:15">
      <c r="A74" s="460"/>
      <c r="B74" s="460"/>
      <c r="C74" s="460"/>
      <c r="D74" s="460"/>
      <c r="E74" s="460"/>
      <c r="F74" s="460"/>
      <c r="G74" s="1624"/>
      <c r="H74" s="460"/>
      <c r="I74" s="1623"/>
      <c r="J74" s="460"/>
      <c r="K74" s="460"/>
      <c r="L74" s="460"/>
      <c r="M74" s="460"/>
      <c r="N74" s="460"/>
      <c r="O74" s="460"/>
    </row>
    <row r="75" spans="1:15">
      <c r="A75" s="460"/>
      <c r="B75" s="460"/>
      <c r="C75" s="460"/>
      <c r="D75" s="460"/>
      <c r="E75" s="460"/>
      <c r="F75" s="460"/>
      <c r="G75" s="1624"/>
      <c r="H75" s="460"/>
      <c r="I75" s="1623"/>
      <c r="J75" s="460"/>
      <c r="K75" s="460"/>
      <c r="L75" s="460"/>
      <c r="M75" s="460"/>
      <c r="N75" s="460"/>
      <c r="O75" s="460"/>
    </row>
    <row r="76" spans="1:15">
      <c r="A76" s="460"/>
      <c r="B76" s="460"/>
      <c r="C76" s="460"/>
      <c r="D76" s="460"/>
      <c r="E76" s="460"/>
      <c r="F76" s="460"/>
      <c r="G76" s="1624"/>
      <c r="H76" s="460"/>
      <c r="I76" s="1623"/>
      <c r="J76" s="460"/>
      <c r="K76" s="460"/>
      <c r="L76" s="460"/>
      <c r="M76" s="460"/>
      <c r="N76" s="460"/>
      <c r="O76" s="460"/>
    </row>
    <row r="77" spans="1:15">
      <c r="A77" s="460"/>
      <c r="B77" s="460"/>
      <c r="C77" s="460"/>
      <c r="D77" s="460"/>
      <c r="E77" s="460"/>
      <c r="F77" s="460"/>
      <c r="G77" s="1624"/>
      <c r="H77" s="460"/>
      <c r="I77" s="1623"/>
      <c r="J77" s="460"/>
      <c r="K77" s="460"/>
      <c r="L77" s="460"/>
      <c r="M77" s="460"/>
      <c r="N77" s="460"/>
      <c r="O77" s="460"/>
    </row>
    <row r="78" spans="1:15">
      <c r="A78" s="460"/>
      <c r="B78" s="460"/>
      <c r="C78" s="460"/>
      <c r="D78" s="460"/>
      <c r="E78" s="460"/>
      <c r="F78" s="460"/>
      <c r="G78" s="1624"/>
      <c r="H78" s="460"/>
      <c r="I78" s="1623"/>
      <c r="J78" s="460"/>
      <c r="K78" s="460"/>
      <c r="L78" s="460"/>
      <c r="M78" s="460"/>
      <c r="N78" s="460"/>
      <c r="O78" s="460"/>
    </row>
    <row r="79" spans="1:15">
      <c r="A79" s="460"/>
      <c r="B79" s="460"/>
      <c r="C79" s="460"/>
      <c r="D79" s="460"/>
      <c r="E79" s="460"/>
      <c r="F79" s="460"/>
      <c r="G79" s="1624"/>
      <c r="H79" s="460"/>
      <c r="I79" s="1623"/>
      <c r="J79" s="460"/>
      <c r="K79" s="460"/>
      <c r="L79" s="460"/>
      <c r="M79" s="460"/>
      <c r="N79" s="460"/>
      <c r="O79" s="460"/>
    </row>
    <row r="80" spans="1:15">
      <c r="A80" s="460"/>
      <c r="B80" s="460"/>
      <c r="C80" s="460"/>
      <c r="D80" s="460"/>
      <c r="E80" s="460"/>
      <c r="F80" s="460"/>
      <c r="G80" s="1624"/>
      <c r="H80" s="460"/>
      <c r="I80" s="1623"/>
      <c r="J80" s="460"/>
      <c r="K80" s="460"/>
      <c r="L80" s="460"/>
      <c r="M80" s="460"/>
      <c r="N80" s="460"/>
      <c r="O80" s="460"/>
    </row>
    <row r="81" spans="1:15">
      <c r="A81" s="460"/>
      <c r="B81" s="460"/>
      <c r="C81" s="460"/>
      <c r="D81" s="460"/>
      <c r="E81" s="460"/>
      <c r="F81" s="460"/>
      <c r="G81" s="1624"/>
      <c r="H81" s="460"/>
      <c r="I81" s="1623"/>
      <c r="J81" s="460"/>
      <c r="K81" s="460"/>
      <c r="L81" s="460"/>
      <c r="M81" s="460"/>
      <c r="N81" s="460"/>
      <c r="O81" s="460"/>
    </row>
    <row r="82" spans="1:15">
      <c r="A82" s="460"/>
      <c r="B82" s="460"/>
      <c r="C82" s="460"/>
      <c r="D82" s="460"/>
      <c r="E82" s="460"/>
      <c r="F82" s="460"/>
      <c r="G82" s="1624"/>
      <c r="H82" s="460"/>
      <c r="I82" s="1623"/>
      <c r="J82" s="460"/>
      <c r="K82" s="460"/>
      <c r="L82" s="460"/>
      <c r="M82" s="460"/>
      <c r="N82" s="460"/>
      <c r="O82" s="460"/>
    </row>
    <row r="83" spans="1:15">
      <c r="A83" s="460"/>
      <c r="B83" s="460"/>
      <c r="C83" s="460"/>
      <c r="D83" s="460"/>
      <c r="E83" s="460"/>
      <c r="F83" s="460"/>
      <c r="G83" s="1624"/>
      <c r="H83" s="460"/>
      <c r="I83" s="1623"/>
      <c r="J83" s="460"/>
      <c r="K83" s="460"/>
      <c r="L83" s="460"/>
      <c r="M83" s="460"/>
      <c r="N83" s="460"/>
      <c r="O83" s="460"/>
    </row>
    <row r="84" spans="1:15">
      <c r="A84" s="460"/>
      <c r="B84" s="460"/>
      <c r="C84" s="460"/>
      <c r="D84" s="460"/>
      <c r="E84" s="460"/>
      <c r="F84" s="460"/>
      <c r="G84" s="1624"/>
      <c r="H84" s="460"/>
      <c r="I84" s="1623"/>
      <c r="J84" s="460"/>
      <c r="K84" s="460"/>
      <c r="L84" s="460"/>
      <c r="M84" s="460"/>
      <c r="N84" s="460"/>
      <c r="O84" s="460"/>
    </row>
    <row r="85" spans="1:15">
      <c r="A85" s="460"/>
      <c r="B85" s="460"/>
      <c r="C85" s="460"/>
      <c r="D85" s="460"/>
      <c r="E85" s="460"/>
      <c r="F85" s="460"/>
      <c r="G85" s="1624"/>
      <c r="H85" s="460"/>
      <c r="I85" s="1623"/>
      <c r="J85" s="460"/>
      <c r="K85" s="460"/>
      <c r="L85" s="460"/>
      <c r="M85" s="460"/>
      <c r="N85" s="460"/>
      <c r="O85" s="460"/>
    </row>
    <row r="86" spans="1:15">
      <c r="A86" s="460"/>
      <c r="B86" s="460"/>
      <c r="C86" s="460"/>
      <c r="D86" s="460"/>
      <c r="E86" s="460"/>
      <c r="F86" s="460"/>
      <c r="G86" s="1624"/>
      <c r="H86" s="460"/>
      <c r="I86" s="1623"/>
      <c r="J86" s="460"/>
      <c r="K86" s="460"/>
      <c r="L86" s="460"/>
      <c r="M86" s="460"/>
      <c r="N86" s="460"/>
      <c r="O86" s="460"/>
    </row>
    <row r="87" spans="1:15">
      <c r="A87" s="460"/>
      <c r="B87" s="460"/>
      <c r="C87" s="460"/>
      <c r="D87" s="460"/>
      <c r="E87" s="460"/>
      <c r="F87" s="460"/>
      <c r="G87" s="1624"/>
      <c r="H87" s="460"/>
      <c r="I87" s="1623"/>
      <c r="J87" s="460"/>
      <c r="K87" s="460"/>
      <c r="L87" s="460"/>
      <c r="M87" s="460"/>
      <c r="N87" s="460"/>
      <c r="O87" s="460"/>
    </row>
    <row r="88" spans="1:15">
      <c r="A88" s="460"/>
      <c r="B88" s="460"/>
      <c r="C88" s="460"/>
      <c r="D88" s="460"/>
      <c r="E88" s="460"/>
      <c r="F88" s="460"/>
      <c r="G88" s="1624"/>
      <c r="H88" s="460"/>
      <c r="I88" s="1623"/>
      <c r="J88" s="460"/>
      <c r="K88" s="460"/>
      <c r="L88" s="460"/>
      <c r="M88" s="460"/>
      <c r="N88" s="460"/>
      <c r="O88" s="460"/>
    </row>
    <row r="89" spans="1:15">
      <c r="A89" s="460"/>
      <c r="B89" s="460"/>
      <c r="C89" s="460"/>
      <c r="D89" s="460"/>
      <c r="E89" s="460"/>
      <c r="F89" s="460"/>
      <c r="G89" s="1624"/>
      <c r="H89" s="460"/>
      <c r="I89" s="1623"/>
      <c r="J89" s="460"/>
      <c r="K89" s="460"/>
      <c r="L89" s="460"/>
      <c r="M89" s="460"/>
      <c r="N89" s="460"/>
      <c r="O89" s="460"/>
    </row>
    <row r="90" spans="1:15">
      <c r="A90" s="460"/>
      <c r="B90" s="460"/>
      <c r="C90" s="460"/>
      <c r="D90" s="460"/>
      <c r="E90" s="460"/>
      <c r="F90" s="460"/>
      <c r="G90" s="1624"/>
      <c r="H90" s="460"/>
      <c r="I90" s="1623"/>
      <c r="J90" s="460"/>
      <c r="K90" s="460"/>
      <c r="L90" s="460"/>
      <c r="M90" s="460"/>
      <c r="N90" s="460"/>
      <c r="O90" s="460"/>
    </row>
    <row r="91" spans="1:15">
      <c r="A91" s="460"/>
      <c r="B91" s="460"/>
      <c r="C91" s="460"/>
      <c r="D91" s="460"/>
      <c r="E91" s="460"/>
      <c r="F91" s="460"/>
      <c r="G91" s="1624"/>
      <c r="H91" s="460"/>
      <c r="I91" s="1623"/>
      <c r="J91" s="460"/>
      <c r="K91" s="460"/>
      <c r="L91" s="460"/>
      <c r="M91" s="460"/>
      <c r="N91" s="460"/>
      <c r="O91" s="460"/>
    </row>
    <row r="92" spans="1:15">
      <c r="A92" s="460"/>
      <c r="B92" s="460"/>
      <c r="C92" s="460"/>
      <c r="D92" s="460"/>
      <c r="E92" s="460"/>
      <c r="F92" s="460"/>
      <c r="G92" s="1624"/>
      <c r="H92" s="460"/>
      <c r="I92" s="1623"/>
      <c r="J92" s="460"/>
      <c r="K92" s="460"/>
      <c r="L92" s="460"/>
      <c r="M92" s="460"/>
      <c r="N92" s="460"/>
      <c r="O92" s="460"/>
    </row>
    <row r="93" spans="1:15">
      <c r="A93" s="460"/>
      <c r="B93" s="460"/>
      <c r="C93" s="460"/>
      <c r="D93" s="460"/>
      <c r="E93" s="460"/>
      <c r="F93" s="460"/>
      <c r="G93" s="1624"/>
      <c r="H93" s="460"/>
      <c r="I93" s="1623"/>
      <c r="J93" s="460"/>
      <c r="K93" s="460"/>
      <c r="L93" s="460"/>
      <c r="M93" s="460"/>
      <c r="N93" s="460"/>
      <c r="O93" s="460"/>
    </row>
    <row r="94" spans="1:15">
      <c r="A94" s="460"/>
      <c r="B94" s="460"/>
      <c r="C94" s="460"/>
      <c r="D94" s="460"/>
      <c r="E94" s="460"/>
      <c r="F94" s="460"/>
      <c r="G94" s="1624"/>
      <c r="H94" s="460"/>
      <c r="I94" s="1623"/>
      <c r="J94" s="460"/>
      <c r="K94" s="460"/>
      <c r="L94" s="460"/>
      <c r="M94" s="460"/>
      <c r="N94" s="460"/>
      <c r="O94" s="460"/>
    </row>
    <row r="95" spans="1:15">
      <c r="A95" s="460"/>
      <c r="B95" s="460"/>
      <c r="C95" s="460"/>
      <c r="D95" s="460"/>
      <c r="E95" s="460"/>
      <c r="F95" s="460"/>
      <c r="G95" s="1624"/>
      <c r="H95" s="460"/>
      <c r="I95" s="1623"/>
      <c r="J95" s="460"/>
      <c r="K95" s="460"/>
      <c r="L95" s="460"/>
      <c r="M95" s="460"/>
      <c r="N95" s="460"/>
      <c r="O95" s="460"/>
    </row>
    <row r="96" spans="1:15">
      <c r="A96" s="460"/>
      <c r="B96" s="460"/>
      <c r="C96" s="460"/>
      <c r="D96" s="460"/>
      <c r="E96" s="460"/>
      <c r="F96" s="460"/>
      <c r="G96" s="1624"/>
      <c r="H96" s="460"/>
      <c r="I96" s="1623"/>
      <c r="J96" s="460"/>
      <c r="K96" s="460"/>
      <c r="L96" s="460"/>
      <c r="M96" s="460"/>
      <c r="N96" s="460"/>
      <c r="O96" s="460"/>
    </row>
    <row r="97" spans="1:15">
      <c r="A97" s="460"/>
      <c r="B97" s="460"/>
      <c r="C97" s="460"/>
      <c r="D97" s="460"/>
      <c r="E97" s="460"/>
      <c r="F97" s="460"/>
      <c r="G97" s="1624"/>
      <c r="H97" s="460"/>
      <c r="I97" s="1623"/>
      <c r="J97" s="460"/>
      <c r="K97" s="460"/>
      <c r="L97" s="460"/>
      <c r="M97" s="460"/>
      <c r="N97" s="460"/>
      <c r="O97" s="460"/>
    </row>
    <row r="98" spans="1:15">
      <c r="A98" s="460"/>
      <c r="B98" s="460"/>
      <c r="C98" s="460"/>
      <c r="D98" s="460"/>
      <c r="E98" s="460"/>
      <c r="F98" s="460"/>
      <c r="G98" s="1624"/>
      <c r="H98" s="460"/>
      <c r="I98" s="1623"/>
      <c r="J98" s="460"/>
      <c r="K98" s="460"/>
      <c r="L98" s="460"/>
      <c r="M98" s="460"/>
      <c r="N98" s="460"/>
      <c r="O98" s="460"/>
    </row>
    <row r="99" spans="1:15">
      <c r="A99" s="460"/>
      <c r="B99" s="460"/>
      <c r="C99" s="460"/>
      <c r="D99" s="460"/>
      <c r="E99" s="460"/>
      <c r="F99" s="460"/>
      <c r="G99" s="1624"/>
      <c r="H99" s="460"/>
      <c r="I99" s="1623"/>
      <c r="J99" s="460"/>
      <c r="K99" s="460"/>
      <c r="L99" s="460"/>
      <c r="M99" s="460"/>
      <c r="N99" s="460"/>
      <c r="O99" s="460"/>
    </row>
    <row r="100" spans="1:15">
      <c r="A100" s="460"/>
      <c r="B100" s="460"/>
      <c r="C100" s="460"/>
      <c r="D100" s="460"/>
      <c r="E100" s="460"/>
      <c r="F100" s="460"/>
      <c r="G100" s="1624"/>
      <c r="H100" s="460"/>
      <c r="I100" s="1623"/>
      <c r="J100" s="460"/>
      <c r="K100" s="460"/>
      <c r="L100" s="460"/>
      <c r="M100" s="460"/>
      <c r="N100" s="460"/>
      <c r="O100" s="460"/>
    </row>
    <row r="101" spans="1:15">
      <c r="A101" s="460"/>
      <c r="B101" s="460"/>
      <c r="C101" s="460"/>
      <c r="D101" s="460"/>
      <c r="E101" s="460"/>
      <c r="F101" s="460"/>
      <c r="G101" s="1624"/>
      <c r="H101" s="460"/>
      <c r="I101" s="1623"/>
      <c r="J101" s="460"/>
      <c r="K101" s="460"/>
      <c r="L101" s="460"/>
      <c r="M101" s="460"/>
      <c r="N101" s="460"/>
      <c r="O101" s="460"/>
    </row>
    <row r="102" spans="1:15">
      <c r="A102" s="460"/>
      <c r="B102" s="460"/>
      <c r="C102" s="460"/>
      <c r="D102" s="460"/>
      <c r="E102" s="460"/>
      <c r="F102" s="460"/>
      <c r="G102" s="1624"/>
      <c r="H102" s="460"/>
      <c r="I102" s="1623"/>
      <c r="J102" s="460"/>
      <c r="K102" s="460"/>
      <c r="L102" s="460"/>
      <c r="M102" s="460"/>
      <c r="N102" s="460"/>
      <c r="O102" s="460"/>
    </row>
    <row r="103" spans="1:15">
      <c r="A103" s="460"/>
      <c r="B103" s="460"/>
      <c r="C103" s="460"/>
      <c r="D103" s="460"/>
      <c r="E103" s="460"/>
      <c r="F103" s="460"/>
      <c r="G103" s="1624"/>
      <c r="H103" s="460"/>
      <c r="I103" s="1623"/>
      <c r="J103" s="460"/>
      <c r="K103" s="460"/>
      <c r="L103" s="460"/>
      <c r="M103" s="460"/>
      <c r="N103" s="460"/>
      <c r="O103" s="460"/>
    </row>
    <row r="104" spans="1:15">
      <c r="A104" s="460"/>
      <c r="B104" s="460"/>
      <c r="C104" s="460"/>
      <c r="D104" s="460"/>
      <c r="E104" s="460"/>
      <c r="F104" s="460"/>
      <c r="G104" s="1624"/>
      <c r="H104" s="460"/>
      <c r="I104" s="1623"/>
      <c r="J104" s="460"/>
      <c r="K104" s="460"/>
      <c r="L104" s="460"/>
      <c r="M104" s="460"/>
      <c r="N104" s="460"/>
      <c r="O104" s="460"/>
    </row>
    <row r="105" spans="1:15">
      <c r="A105" s="460"/>
      <c r="B105" s="460"/>
      <c r="C105" s="460"/>
      <c r="D105" s="460"/>
      <c r="E105" s="460"/>
      <c r="F105" s="460"/>
      <c r="G105" s="1624"/>
      <c r="H105" s="460"/>
      <c r="I105" s="1623"/>
      <c r="J105" s="460"/>
      <c r="K105" s="460"/>
      <c r="L105" s="460"/>
      <c r="M105" s="460"/>
      <c r="N105" s="460"/>
      <c r="O105" s="460"/>
    </row>
    <row r="106" spans="1:15">
      <c r="A106" s="460"/>
      <c r="B106" s="460"/>
      <c r="C106" s="460"/>
      <c r="D106" s="460"/>
      <c r="E106" s="460"/>
      <c r="F106" s="460"/>
      <c r="G106" s="1624"/>
      <c r="H106" s="460"/>
      <c r="I106" s="1623"/>
      <c r="J106" s="460"/>
      <c r="K106" s="460"/>
      <c r="L106" s="460"/>
      <c r="M106" s="460"/>
      <c r="N106" s="460"/>
      <c r="O106" s="460"/>
    </row>
    <row r="107" spans="1:15">
      <c r="A107" s="460"/>
      <c r="B107" s="460"/>
      <c r="C107" s="460"/>
      <c r="D107" s="460"/>
      <c r="E107" s="460"/>
      <c r="F107" s="460"/>
      <c r="G107" s="1624"/>
      <c r="H107" s="460"/>
      <c r="I107" s="1623"/>
      <c r="J107" s="460"/>
      <c r="K107" s="460"/>
      <c r="L107" s="460"/>
      <c r="M107" s="460"/>
      <c r="N107" s="460"/>
      <c r="O107" s="460"/>
    </row>
    <row r="108" spans="1:15">
      <c r="A108" s="460"/>
      <c r="B108" s="460"/>
      <c r="C108" s="460"/>
      <c r="D108" s="460"/>
      <c r="E108" s="460"/>
      <c r="F108" s="460"/>
      <c r="G108" s="1624"/>
      <c r="H108" s="460"/>
      <c r="I108" s="1623"/>
      <c r="J108" s="460"/>
      <c r="K108" s="460"/>
      <c r="L108" s="460"/>
      <c r="M108" s="460"/>
      <c r="N108" s="460"/>
      <c r="O108" s="460"/>
    </row>
    <row r="109" spans="1:15">
      <c r="A109" s="460"/>
      <c r="B109" s="460"/>
      <c r="C109" s="460"/>
      <c r="D109" s="460"/>
      <c r="E109" s="460"/>
      <c r="F109" s="460"/>
      <c r="G109" s="1624"/>
      <c r="H109" s="460"/>
      <c r="I109" s="1623"/>
      <c r="J109" s="460"/>
      <c r="K109" s="460"/>
      <c r="L109" s="460"/>
      <c r="M109" s="460"/>
      <c r="N109" s="460"/>
      <c r="O109" s="460"/>
    </row>
    <row r="110" spans="1:15">
      <c r="A110" s="460"/>
      <c r="B110" s="460"/>
      <c r="C110" s="460"/>
      <c r="D110" s="460"/>
      <c r="E110" s="460"/>
      <c r="F110" s="460"/>
      <c r="G110" s="1624"/>
      <c r="H110" s="460"/>
      <c r="I110" s="1623"/>
      <c r="J110" s="460"/>
      <c r="K110" s="460"/>
      <c r="L110" s="460"/>
      <c r="M110" s="460"/>
      <c r="N110" s="460"/>
      <c r="O110" s="460"/>
    </row>
    <row r="111" spans="1:15">
      <c r="A111" s="460"/>
      <c r="B111" s="460"/>
      <c r="C111" s="460"/>
      <c r="D111" s="460"/>
      <c r="E111" s="460"/>
      <c r="F111" s="460"/>
      <c r="G111" s="1624"/>
      <c r="H111" s="460"/>
      <c r="I111" s="1623"/>
      <c r="J111" s="460"/>
      <c r="K111" s="460"/>
      <c r="L111" s="460"/>
      <c r="M111" s="460"/>
      <c r="N111" s="460"/>
      <c r="O111" s="460"/>
    </row>
    <row r="112" spans="1:15">
      <c r="A112" s="460"/>
      <c r="B112" s="460"/>
      <c r="C112" s="460"/>
      <c r="D112" s="460"/>
      <c r="E112" s="460"/>
      <c r="F112" s="460"/>
      <c r="G112" s="1624"/>
      <c r="H112" s="460"/>
      <c r="I112" s="1623"/>
      <c r="J112" s="460"/>
      <c r="K112" s="460"/>
      <c r="L112" s="460"/>
      <c r="M112" s="460"/>
      <c r="N112" s="460"/>
      <c r="O112" s="460"/>
    </row>
    <row r="113" spans="1:15">
      <c r="A113" s="460"/>
      <c r="B113" s="460"/>
      <c r="C113" s="460"/>
      <c r="D113" s="460"/>
      <c r="E113" s="460"/>
      <c r="F113" s="460"/>
      <c r="G113" s="1624"/>
      <c r="H113" s="460"/>
      <c r="I113" s="1623"/>
      <c r="J113" s="460"/>
      <c r="K113" s="460"/>
      <c r="L113" s="460"/>
      <c r="M113" s="460"/>
      <c r="N113" s="460"/>
      <c r="O113" s="460"/>
    </row>
    <row r="114" spans="1:15">
      <c r="A114" s="460"/>
      <c r="B114" s="460"/>
      <c r="C114" s="460"/>
      <c r="D114" s="460"/>
      <c r="E114" s="460"/>
      <c r="F114" s="460"/>
      <c r="G114" s="1624"/>
      <c r="H114" s="460"/>
      <c r="I114" s="1623"/>
      <c r="J114" s="460"/>
      <c r="K114" s="460"/>
      <c r="L114" s="460"/>
      <c r="M114" s="460"/>
      <c r="N114" s="460"/>
      <c r="O114" s="460"/>
    </row>
    <row r="115" spans="1:15">
      <c r="A115" s="460"/>
      <c r="B115" s="460"/>
      <c r="C115" s="460"/>
      <c r="D115" s="460"/>
      <c r="E115" s="460"/>
      <c r="F115" s="460"/>
      <c r="G115" s="1624"/>
      <c r="H115" s="460"/>
      <c r="I115" s="1623"/>
      <c r="J115" s="460"/>
      <c r="K115" s="460"/>
      <c r="L115" s="460"/>
      <c r="M115" s="460"/>
      <c r="N115" s="460"/>
      <c r="O115" s="460"/>
    </row>
    <row r="116" spans="1:15">
      <c r="A116" s="460"/>
      <c r="B116" s="460"/>
      <c r="C116" s="460"/>
      <c r="D116" s="460"/>
      <c r="E116" s="460"/>
      <c r="F116" s="460"/>
      <c r="G116" s="1624"/>
      <c r="H116" s="460"/>
      <c r="I116" s="1623"/>
      <c r="J116" s="460"/>
      <c r="K116" s="460"/>
      <c r="L116" s="460"/>
      <c r="M116" s="460"/>
      <c r="N116" s="460"/>
      <c r="O116" s="460"/>
    </row>
    <row r="117" spans="1:15">
      <c r="A117" s="460"/>
      <c r="B117" s="460"/>
      <c r="C117" s="460"/>
      <c r="D117" s="460"/>
      <c r="E117" s="460"/>
      <c r="F117" s="460"/>
      <c r="G117" s="1624"/>
      <c r="H117" s="460"/>
      <c r="I117" s="1623"/>
      <c r="J117" s="460"/>
      <c r="K117" s="460"/>
      <c r="L117" s="460"/>
      <c r="M117" s="460"/>
      <c r="N117" s="460"/>
      <c r="O117" s="460"/>
    </row>
    <row r="118" spans="1:15">
      <c r="A118" s="460"/>
      <c r="B118" s="460"/>
      <c r="C118" s="460"/>
      <c r="D118" s="460"/>
      <c r="E118" s="460"/>
      <c r="F118" s="460"/>
      <c r="G118" s="1624"/>
      <c r="H118" s="460"/>
      <c r="I118" s="1623"/>
      <c r="J118" s="460"/>
      <c r="K118" s="460"/>
      <c r="L118" s="460"/>
      <c r="M118" s="460"/>
      <c r="N118" s="460"/>
      <c r="O118" s="460"/>
    </row>
    <row r="119" spans="1:15">
      <c r="A119" s="460"/>
      <c r="B119" s="460"/>
      <c r="C119" s="460"/>
      <c r="D119" s="460"/>
      <c r="E119" s="460"/>
      <c r="F119" s="460"/>
      <c r="G119" s="1624"/>
      <c r="H119" s="460"/>
      <c r="I119" s="1623"/>
      <c r="J119" s="460"/>
      <c r="K119" s="460"/>
      <c r="L119" s="460"/>
      <c r="M119" s="460"/>
      <c r="N119" s="460"/>
      <c r="O119" s="460"/>
    </row>
    <row r="120" spans="1:15">
      <c r="A120" s="460"/>
      <c r="B120" s="460"/>
      <c r="C120" s="460"/>
      <c r="D120" s="460"/>
      <c r="E120" s="460"/>
      <c r="F120" s="460"/>
      <c r="G120" s="1624"/>
      <c r="H120" s="460"/>
      <c r="I120" s="1623"/>
      <c r="J120" s="460"/>
      <c r="K120" s="460"/>
      <c r="L120" s="460"/>
      <c r="M120" s="460"/>
      <c r="N120" s="460"/>
      <c r="O120" s="460"/>
    </row>
    <row r="121" spans="1:15">
      <c r="A121" s="460"/>
      <c r="B121" s="460"/>
      <c r="C121" s="460"/>
      <c r="D121" s="460"/>
      <c r="E121" s="460"/>
      <c r="F121" s="460"/>
      <c r="G121" s="1624"/>
      <c r="H121" s="460"/>
      <c r="I121" s="1623"/>
      <c r="J121" s="460"/>
      <c r="K121" s="460"/>
      <c r="L121" s="460"/>
      <c r="M121" s="460"/>
      <c r="N121" s="460"/>
      <c r="O121" s="460"/>
    </row>
    <row r="122" spans="1:15">
      <c r="A122" s="460"/>
      <c r="B122" s="460"/>
      <c r="C122" s="460"/>
      <c r="D122" s="460"/>
      <c r="E122" s="460"/>
      <c r="F122" s="460"/>
      <c r="G122" s="1624"/>
      <c r="H122" s="460"/>
      <c r="I122" s="1623"/>
      <c r="J122" s="460"/>
      <c r="K122" s="460"/>
      <c r="L122" s="460"/>
      <c r="M122" s="460"/>
      <c r="N122" s="460"/>
      <c r="O122" s="460"/>
    </row>
    <row r="123" spans="1:15">
      <c r="A123" s="460"/>
      <c r="B123" s="460"/>
      <c r="C123" s="460"/>
      <c r="D123" s="460"/>
      <c r="E123" s="460"/>
      <c r="F123" s="460"/>
      <c r="G123" s="1624"/>
      <c r="H123" s="460"/>
      <c r="I123" s="1623"/>
      <c r="J123" s="460"/>
      <c r="K123" s="460"/>
      <c r="L123" s="460"/>
      <c r="M123" s="460"/>
      <c r="N123" s="460"/>
      <c r="O123" s="460"/>
    </row>
    <row r="124" spans="1:15">
      <c r="A124" s="460"/>
      <c r="B124" s="460"/>
      <c r="C124" s="460"/>
      <c r="D124" s="460"/>
      <c r="E124" s="460"/>
      <c r="F124" s="460"/>
      <c r="G124" s="1624"/>
      <c r="H124" s="460"/>
      <c r="I124" s="1623"/>
      <c r="J124" s="460"/>
      <c r="K124" s="460"/>
      <c r="L124" s="460"/>
      <c r="M124" s="460"/>
      <c r="N124" s="460"/>
      <c r="O124" s="460"/>
    </row>
    <row r="125" spans="1:15">
      <c r="A125" s="460"/>
      <c r="B125" s="460"/>
      <c r="C125" s="460"/>
      <c r="D125" s="460"/>
      <c r="E125" s="460"/>
      <c r="F125" s="460"/>
      <c r="G125" s="1624"/>
      <c r="H125" s="460"/>
      <c r="I125" s="1623"/>
      <c r="J125" s="460"/>
      <c r="K125" s="460"/>
      <c r="L125" s="460"/>
      <c r="M125" s="460"/>
      <c r="N125" s="460"/>
      <c r="O125" s="460"/>
    </row>
    <row r="126" spans="1:15">
      <c r="A126" s="460"/>
      <c r="B126" s="460"/>
      <c r="C126" s="460"/>
      <c r="D126" s="460"/>
      <c r="E126" s="460"/>
      <c r="F126" s="460"/>
      <c r="G126" s="1624"/>
      <c r="H126" s="460"/>
      <c r="I126" s="1623"/>
      <c r="J126" s="460"/>
      <c r="K126" s="460"/>
      <c r="L126" s="460"/>
      <c r="M126" s="460"/>
      <c r="N126" s="460"/>
      <c r="O126" s="460"/>
    </row>
    <row r="127" spans="1:15">
      <c r="A127" s="460"/>
      <c r="B127" s="460"/>
      <c r="C127" s="460"/>
      <c r="D127" s="460"/>
      <c r="E127" s="460"/>
      <c r="F127" s="460"/>
      <c r="G127" s="1624"/>
      <c r="H127" s="460"/>
      <c r="I127" s="1623"/>
      <c r="J127" s="460"/>
      <c r="K127" s="460"/>
      <c r="L127" s="460"/>
      <c r="M127" s="460"/>
      <c r="N127" s="460"/>
      <c r="O127" s="460"/>
    </row>
    <row r="128" spans="1:15">
      <c r="A128" s="460"/>
      <c r="B128" s="460"/>
      <c r="C128" s="460"/>
      <c r="D128" s="460"/>
      <c r="E128" s="460"/>
      <c r="F128" s="460"/>
      <c r="G128" s="1624"/>
      <c r="H128" s="460"/>
      <c r="I128" s="1623"/>
      <c r="J128" s="460"/>
      <c r="K128" s="460"/>
      <c r="L128" s="460"/>
      <c r="M128" s="460"/>
      <c r="N128" s="460"/>
      <c r="O128" s="460"/>
    </row>
    <row r="129" spans="1:15">
      <c r="A129" s="460"/>
      <c r="B129" s="460"/>
      <c r="C129" s="460"/>
      <c r="D129" s="460"/>
      <c r="E129" s="460"/>
      <c r="F129" s="460"/>
      <c r="G129" s="1624"/>
      <c r="H129" s="460"/>
      <c r="I129" s="1623"/>
      <c r="J129" s="460"/>
      <c r="K129" s="460"/>
      <c r="L129" s="460"/>
      <c r="M129" s="460"/>
      <c r="N129" s="460"/>
      <c r="O129" s="460"/>
    </row>
    <row r="130" spans="1:15">
      <c r="A130" s="460"/>
      <c r="B130" s="460"/>
      <c r="C130" s="460"/>
      <c r="D130" s="460"/>
      <c r="E130" s="460"/>
      <c r="F130" s="460"/>
      <c r="G130" s="1624"/>
      <c r="H130" s="460"/>
      <c r="I130" s="1623"/>
      <c r="J130" s="460"/>
      <c r="K130" s="460"/>
      <c r="L130" s="460"/>
      <c r="M130" s="460"/>
      <c r="N130" s="460"/>
      <c r="O130" s="460"/>
    </row>
    <row r="131" spans="1:15">
      <c r="A131" s="460"/>
      <c r="B131" s="460"/>
      <c r="C131" s="460"/>
      <c r="D131" s="460"/>
      <c r="E131" s="460"/>
      <c r="F131" s="460"/>
      <c r="G131" s="1624"/>
      <c r="H131" s="460"/>
      <c r="I131" s="1623"/>
      <c r="J131" s="460"/>
      <c r="K131" s="460"/>
      <c r="L131" s="460"/>
      <c r="M131" s="460"/>
      <c r="N131" s="460"/>
      <c r="O131" s="460"/>
    </row>
    <row r="132" spans="1:15">
      <c r="A132" s="460"/>
      <c r="B132" s="460"/>
      <c r="C132" s="460"/>
      <c r="D132" s="460"/>
      <c r="E132" s="460"/>
      <c r="F132" s="460"/>
      <c r="G132" s="1624"/>
      <c r="H132" s="460"/>
      <c r="I132" s="1623"/>
      <c r="J132" s="460"/>
      <c r="K132" s="460"/>
      <c r="L132" s="460"/>
      <c r="M132" s="460"/>
      <c r="N132" s="460"/>
      <c r="O132" s="460"/>
    </row>
    <row r="133" spans="1:15">
      <c r="A133" s="460"/>
      <c r="B133" s="460"/>
      <c r="C133" s="460"/>
      <c r="D133" s="460"/>
      <c r="E133" s="460"/>
      <c r="F133" s="460"/>
      <c r="G133" s="1624"/>
      <c r="H133" s="460"/>
      <c r="I133" s="1623"/>
      <c r="J133" s="460"/>
      <c r="K133" s="460"/>
      <c r="L133" s="460"/>
      <c r="M133" s="460"/>
      <c r="N133" s="460"/>
      <c r="O133" s="460"/>
    </row>
    <row r="134" spans="1:15">
      <c r="A134" s="460"/>
      <c r="B134" s="460"/>
      <c r="C134" s="460"/>
      <c r="D134" s="460"/>
      <c r="E134" s="460"/>
      <c r="F134" s="460"/>
      <c r="G134" s="1624"/>
      <c r="H134" s="460"/>
      <c r="I134" s="1623"/>
      <c r="J134" s="460"/>
      <c r="K134" s="460"/>
      <c r="L134" s="460"/>
      <c r="M134" s="460"/>
      <c r="N134" s="460"/>
      <c r="O134" s="460"/>
    </row>
    <row r="135" spans="1:15">
      <c r="A135" s="460"/>
      <c r="B135" s="460"/>
      <c r="C135" s="460"/>
      <c r="D135" s="460"/>
      <c r="E135" s="460"/>
      <c r="F135" s="460"/>
      <c r="G135" s="1624"/>
      <c r="H135" s="460"/>
      <c r="I135" s="1623"/>
      <c r="J135" s="460"/>
      <c r="K135" s="460"/>
      <c r="L135" s="460"/>
      <c r="M135" s="460"/>
      <c r="N135" s="460"/>
      <c r="O135" s="460"/>
    </row>
    <row r="136" spans="1:15">
      <c r="A136" s="460"/>
      <c r="B136" s="460"/>
      <c r="C136" s="460"/>
      <c r="D136" s="460"/>
      <c r="E136" s="460"/>
      <c r="F136" s="460"/>
      <c r="G136" s="1624"/>
      <c r="H136" s="460"/>
      <c r="I136" s="1623"/>
      <c r="J136" s="460"/>
      <c r="K136" s="460"/>
      <c r="L136" s="460"/>
      <c r="M136" s="460"/>
      <c r="N136" s="460"/>
      <c r="O136" s="460"/>
    </row>
    <row r="137" spans="1:15">
      <c r="A137" s="460"/>
      <c r="B137" s="460"/>
      <c r="C137" s="460"/>
      <c r="D137" s="460"/>
      <c r="E137" s="460"/>
      <c r="F137" s="460"/>
      <c r="G137" s="1624"/>
      <c r="H137" s="460"/>
      <c r="I137" s="1623"/>
      <c r="J137" s="460"/>
      <c r="K137" s="460"/>
      <c r="L137" s="460"/>
      <c r="M137" s="460"/>
      <c r="N137" s="460"/>
      <c r="O137" s="460"/>
    </row>
    <row r="138" spans="1:15">
      <c r="A138" s="460"/>
      <c r="B138" s="460"/>
      <c r="C138" s="460"/>
      <c r="D138" s="460"/>
      <c r="E138" s="460"/>
      <c r="F138" s="460"/>
      <c r="G138" s="1624"/>
      <c r="H138" s="460"/>
      <c r="I138" s="1623"/>
      <c r="J138" s="460"/>
      <c r="K138" s="460"/>
      <c r="L138" s="460"/>
      <c r="M138" s="460"/>
      <c r="N138" s="460"/>
      <c r="O138" s="460"/>
    </row>
    <row r="139" spans="1:15">
      <c r="A139" s="460"/>
      <c r="B139" s="460"/>
      <c r="C139" s="460"/>
      <c r="D139" s="460"/>
      <c r="E139" s="460"/>
      <c r="F139" s="460"/>
      <c r="G139" s="1624"/>
      <c r="H139" s="460"/>
      <c r="I139" s="1623"/>
      <c r="J139" s="460"/>
      <c r="K139" s="460"/>
      <c r="L139" s="460"/>
      <c r="M139" s="460"/>
      <c r="N139" s="460"/>
      <c r="O139" s="460"/>
    </row>
    <row r="140" spans="1:15">
      <c r="A140" s="460"/>
      <c r="B140" s="460"/>
      <c r="C140" s="460"/>
      <c r="D140" s="460"/>
      <c r="E140" s="460"/>
      <c r="F140" s="460"/>
      <c r="G140" s="1624"/>
      <c r="H140" s="460"/>
      <c r="I140" s="1623"/>
      <c r="J140" s="460"/>
      <c r="K140" s="460"/>
      <c r="L140" s="460"/>
      <c r="M140" s="460"/>
      <c r="N140" s="460"/>
      <c r="O140" s="460"/>
    </row>
    <row r="141" spans="1:15">
      <c r="A141" s="460"/>
      <c r="B141" s="460"/>
      <c r="C141" s="460"/>
      <c r="D141" s="460"/>
      <c r="E141" s="460"/>
      <c r="F141" s="460"/>
      <c r="G141" s="1624"/>
      <c r="H141" s="460"/>
      <c r="I141" s="1623"/>
      <c r="J141" s="460"/>
      <c r="K141" s="460"/>
      <c r="L141" s="460"/>
      <c r="M141" s="460"/>
      <c r="N141" s="460"/>
      <c r="O141" s="460"/>
    </row>
    <row r="142" spans="1:15">
      <c r="A142" s="460"/>
      <c r="B142" s="460"/>
      <c r="C142" s="460"/>
      <c r="D142" s="460"/>
      <c r="E142" s="460"/>
      <c r="F142" s="460"/>
      <c r="G142" s="1624"/>
      <c r="H142" s="460"/>
      <c r="I142" s="1623"/>
      <c r="J142" s="460"/>
      <c r="K142" s="460"/>
      <c r="L142" s="460"/>
      <c r="M142" s="460"/>
      <c r="N142" s="460"/>
      <c r="O142" s="460"/>
    </row>
    <row r="143" spans="1:15">
      <c r="A143" s="460"/>
      <c r="B143" s="460"/>
      <c r="C143" s="460"/>
      <c r="D143" s="460"/>
      <c r="E143" s="460"/>
      <c r="F143" s="460"/>
      <c r="G143" s="1624"/>
      <c r="H143" s="460"/>
      <c r="I143" s="1623"/>
      <c r="J143" s="460"/>
      <c r="K143" s="460"/>
      <c r="L143" s="460"/>
      <c r="M143" s="460"/>
      <c r="N143" s="460"/>
      <c r="O143" s="460"/>
    </row>
    <row r="144" spans="1:15">
      <c r="A144" s="460"/>
      <c r="B144" s="460"/>
      <c r="C144" s="460"/>
      <c r="D144" s="460"/>
      <c r="E144" s="460"/>
      <c r="F144" s="460"/>
      <c r="G144" s="1624"/>
      <c r="H144" s="460"/>
      <c r="I144" s="1623"/>
      <c r="J144" s="460"/>
      <c r="K144" s="460"/>
      <c r="L144" s="460"/>
      <c r="M144" s="460"/>
      <c r="N144" s="460"/>
      <c r="O144" s="460"/>
    </row>
    <row r="145" spans="1:15">
      <c r="A145" s="460"/>
      <c r="B145" s="460"/>
      <c r="C145" s="460"/>
      <c r="D145" s="460"/>
      <c r="E145" s="460"/>
      <c r="F145" s="460"/>
      <c r="G145" s="1624"/>
      <c r="H145" s="460"/>
      <c r="I145" s="1623"/>
      <c r="J145" s="460"/>
      <c r="K145" s="460"/>
      <c r="L145" s="460"/>
      <c r="M145" s="460"/>
      <c r="N145" s="460"/>
      <c r="O145" s="460"/>
    </row>
    <row r="146" spans="1:15">
      <c r="A146" s="460"/>
      <c r="B146" s="460"/>
      <c r="C146" s="460"/>
      <c r="D146" s="460"/>
      <c r="E146" s="460"/>
      <c r="F146" s="460"/>
      <c r="G146" s="1624"/>
      <c r="H146" s="460"/>
      <c r="I146" s="1623"/>
      <c r="J146" s="460"/>
      <c r="K146" s="460"/>
      <c r="L146" s="460"/>
      <c r="M146" s="460"/>
      <c r="N146" s="460"/>
      <c r="O146" s="460"/>
    </row>
    <row r="147" spans="1:15">
      <c r="A147" s="460"/>
      <c r="B147" s="460"/>
      <c r="C147" s="460"/>
      <c r="D147" s="460"/>
      <c r="E147" s="460"/>
      <c r="F147" s="460"/>
      <c r="G147" s="1624"/>
      <c r="H147" s="460"/>
      <c r="I147" s="1623"/>
      <c r="J147" s="460"/>
      <c r="K147" s="460"/>
      <c r="L147" s="460"/>
      <c r="M147" s="460"/>
      <c r="N147" s="460"/>
      <c r="O147" s="460"/>
    </row>
    <row r="148" spans="1:15">
      <c r="A148" s="460"/>
      <c r="B148" s="460"/>
      <c r="C148" s="460"/>
      <c r="D148" s="460"/>
      <c r="E148" s="460"/>
      <c r="F148" s="460"/>
      <c r="G148" s="1624"/>
      <c r="H148" s="460"/>
      <c r="I148" s="1623"/>
      <c r="J148" s="460"/>
      <c r="K148" s="460"/>
      <c r="L148" s="460"/>
      <c r="M148" s="460"/>
      <c r="N148" s="460"/>
      <c r="O148" s="460"/>
    </row>
  </sheetData>
  <mergeCells count="24">
    <mergeCell ref="D13:F13"/>
    <mergeCell ref="H41:H43"/>
    <mergeCell ref="C42:G43"/>
    <mergeCell ref="C53:F54"/>
    <mergeCell ref="D19:F19"/>
    <mergeCell ref="D20:F20"/>
    <mergeCell ref="D21:G21"/>
    <mergeCell ref="D22:F22"/>
    <mergeCell ref="D23:F23"/>
    <mergeCell ref="D24:F24"/>
    <mergeCell ref="C3:K3"/>
    <mergeCell ref="C5:K5"/>
    <mergeCell ref="C6:K6"/>
    <mergeCell ref="C7:K7"/>
    <mergeCell ref="C8:K8"/>
    <mergeCell ref="I12:K12"/>
    <mergeCell ref="D14:F14"/>
    <mergeCell ref="D15:F15"/>
    <mergeCell ref="D16:F16"/>
    <mergeCell ref="D17:F17"/>
    <mergeCell ref="D26:F26"/>
    <mergeCell ref="D27:F27"/>
    <mergeCell ref="D18:F18"/>
    <mergeCell ref="D25:F25"/>
  </mergeCells>
  <dataValidations count="1">
    <dataValidation allowBlank="1" showErrorMessage="1" error="." sqref="I47"/>
  </dataValidations>
  <pageMargins left="0.5" right="0.5" top="0.5" bottom="0.5" header="0.5" footer="0.5"/>
  <pageSetup scale="59" orientation="portrait" blackAndWhite="1" r:id="rId1"/>
  <headerFooter alignWithMargins="0"/>
  <legacyDrawing r:id="rId2"/>
  <controls>
    <control shapeId="27651" r:id="rId3" name="Label1"/>
  </controls>
</worksheet>
</file>

<file path=xl/worksheets/sheet34.xml><?xml version="1.0" encoding="utf-8"?>
<worksheet xmlns="http://schemas.openxmlformats.org/spreadsheetml/2006/main" xmlns:r="http://schemas.openxmlformats.org/officeDocument/2006/relationships">
  <sheetPr codeName="Sheet28">
    <pageSetUpPr fitToPage="1"/>
  </sheetPr>
  <dimension ref="A1:P106"/>
  <sheetViews>
    <sheetView showGridLines="0" zoomScale="85" zoomScaleNormal="85" workbookViewId="0">
      <selection activeCell="N67" sqref="N67"/>
    </sheetView>
  </sheetViews>
  <sheetFormatPr defaultColWidth="8.85546875" defaultRowHeight="12.75"/>
  <cols>
    <col min="1" max="1" width="6.28515625" style="106" customWidth="1"/>
    <col min="2" max="2" width="13.28515625" style="91" customWidth="1"/>
    <col min="3" max="3" width="10.28515625" style="91" customWidth="1"/>
    <col min="4" max="4" width="29.140625" style="91" customWidth="1"/>
    <col min="5" max="5" width="14.140625" style="91" customWidth="1"/>
    <col min="6" max="6" width="18" style="136" customWidth="1"/>
    <col min="7" max="7" width="20.28515625" style="136" customWidth="1"/>
    <col min="8" max="8" width="18.28515625" style="136" customWidth="1"/>
    <col min="9" max="9" width="5.7109375" style="91" customWidth="1"/>
    <col min="10" max="16384" width="8.85546875" style="91"/>
  </cols>
  <sheetData>
    <row r="1" spans="1:16">
      <c r="A1" s="1701"/>
      <c r="B1" s="1475" t="str">
        <f>TestYear &amp; " Test Year"</f>
        <v>2015 Test Year</v>
      </c>
      <c r="C1" s="665"/>
      <c r="D1" s="665"/>
      <c r="E1" s="665"/>
      <c r="F1" s="1155"/>
      <c r="G1" s="1155"/>
      <c r="H1" s="1155"/>
      <c r="I1" s="666" t="s">
        <v>836</v>
      </c>
      <c r="J1" s="185"/>
      <c r="K1" s="185"/>
      <c r="L1" s="185"/>
      <c r="M1" s="185"/>
      <c r="N1" s="185"/>
      <c r="O1" s="185"/>
      <c r="P1" s="185"/>
    </row>
    <row r="2" spans="1:16">
      <c r="A2" s="303"/>
      <c r="B2" s="665"/>
      <c r="C2" s="1974">
        <f>TestYear</f>
        <v>2015</v>
      </c>
      <c r="D2" s="1900"/>
      <c r="E2" s="1900"/>
      <c r="F2" s="1900"/>
      <c r="G2" s="1900"/>
      <c r="H2" s="1900"/>
      <c r="I2" s="186"/>
      <c r="J2" s="185"/>
      <c r="K2" s="185"/>
      <c r="L2" s="185"/>
      <c r="M2" s="185"/>
      <c r="N2" s="185"/>
      <c r="O2" s="185"/>
      <c r="P2" s="185"/>
    </row>
    <row r="3" spans="1:16">
      <c r="A3" s="299"/>
      <c r="B3" s="667"/>
      <c r="C3" s="1974" t="s">
        <v>837</v>
      </c>
      <c r="D3" s="1900"/>
      <c r="E3" s="1900"/>
      <c r="F3" s="1900"/>
      <c r="G3" s="1900"/>
      <c r="H3" s="1900"/>
      <c r="I3" s="185"/>
      <c r="J3" s="185"/>
      <c r="K3" s="185"/>
      <c r="L3" s="185"/>
      <c r="M3" s="185"/>
      <c r="N3" s="185"/>
      <c r="O3" s="185"/>
      <c r="P3" s="185"/>
    </row>
    <row r="4" spans="1:16">
      <c r="A4" s="723"/>
      <c r="B4" s="1702"/>
      <c r="C4" s="2147" t="str">
        <f>CONCATENATE("Test Year ",TestYear)</f>
        <v>Test Year 2015</v>
      </c>
      <c r="D4" s="2148"/>
      <c r="E4" s="2148"/>
      <c r="F4" s="2148"/>
      <c r="G4" s="2148"/>
      <c r="H4" s="2148"/>
      <c r="I4" s="661"/>
      <c r="J4" s="185"/>
      <c r="K4" s="185"/>
      <c r="L4" s="185"/>
      <c r="M4" s="185"/>
      <c r="N4" s="185"/>
      <c r="O4" s="185"/>
      <c r="P4" s="185"/>
    </row>
    <row r="5" spans="1:16">
      <c r="A5" s="721"/>
      <c r="B5" s="1476"/>
      <c r="C5" s="2149" t="s">
        <v>816</v>
      </c>
      <c r="D5" s="2148"/>
      <c r="E5" s="2148"/>
      <c r="F5" s="2148"/>
      <c r="G5" s="2148"/>
      <c r="H5" s="2148"/>
      <c r="I5" s="1699"/>
      <c r="J5" s="1699"/>
      <c r="K5" s="1699"/>
      <c r="L5" s="185"/>
      <c r="M5" s="185"/>
      <c r="N5" s="185"/>
      <c r="O5" s="185"/>
      <c r="P5" s="185"/>
    </row>
    <row r="6" spans="1:16" ht="13.5" thickBot="1">
      <c r="A6" s="721"/>
      <c r="B6" s="1476"/>
      <c r="C6" s="1733"/>
      <c r="D6" s="482"/>
      <c r="E6" s="482"/>
      <c r="F6" s="482"/>
      <c r="G6" s="482"/>
      <c r="H6" s="482"/>
      <c r="I6" s="1699"/>
      <c r="J6" s="1699"/>
      <c r="K6" s="1699"/>
      <c r="L6" s="185"/>
      <c r="M6" s="185"/>
      <c r="N6" s="185"/>
      <c r="O6" s="185"/>
      <c r="P6" s="185"/>
    </row>
    <row r="7" spans="1:16" ht="13.5" thickTop="1">
      <c r="A7" s="723"/>
      <c r="B7" s="1743"/>
      <c r="C7" s="691"/>
      <c r="D7" s="728"/>
      <c r="E7" s="728"/>
      <c r="F7" s="1744" t="s">
        <v>838</v>
      </c>
      <c r="G7" s="1744"/>
      <c r="H7" s="1744"/>
      <c r="I7" s="366"/>
      <c r="J7" s="368"/>
      <c r="K7" s="185"/>
      <c r="L7" s="185"/>
      <c r="M7" s="185"/>
      <c r="N7" s="185"/>
      <c r="O7" s="185"/>
      <c r="P7" s="185"/>
    </row>
    <row r="8" spans="1:16">
      <c r="A8" s="723"/>
      <c r="B8" s="1077"/>
      <c r="C8" s="673"/>
      <c r="D8" s="726"/>
      <c r="E8" s="726"/>
      <c r="F8" s="1734" t="s">
        <v>839</v>
      </c>
      <c r="G8" s="1734" t="s">
        <v>840</v>
      </c>
      <c r="H8" s="1734" t="s">
        <v>841</v>
      </c>
      <c r="I8" s="344"/>
      <c r="J8" s="370"/>
      <c r="K8" s="185"/>
      <c r="L8" s="185"/>
      <c r="M8" s="185"/>
      <c r="N8" s="185"/>
      <c r="O8" s="185"/>
      <c r="P8" s="185"/>
    </row>
    <row r="9" spans="1:16">
      <c r="A9" s="723"/>
      <c r="B9" s="1077"/>
      <c r="C9" s="673"/>
      <c r="D9" s="726"/>
      <c r="E9" s="726"/>
      <c r="F9" s="1735" t="s">
        <v>842</v>
      </c>
      <c r="G9" s="1735" t="s">
        <v>843</v>
      </c>
      <c r="H9" s="1735" t="s">
        <v>253</v>
      </c>
      <c r="I9" s="344"/>
      <c r="J9" s="370"/>
      <c r="K9" s="185"/>
      <c r="L9" s="185"/>
      <c r="M9" s="185"/>
      <c r="N9" s="185"/>
      <c r="O9" s="185"/>
      <c r="P9" s="185"/>
    </row>
    <row r="10" spans="1:16">
      <c r="A10" s="303"/>
      <c r="B10" s="730"/>
      <c r="C10" s="1704"/>
      <c r="D10" s="941"/>
      <c r="E10" s="941"/>
      <c r="F10" s="1745"/>
      <c r="G10" s="1745"/>
      <c r="H10" s="1745"/>
      <c r="I10" s="941"/>
      <c r="J10" s="370"/>
      <c r="K10" s="185"/>
      <c r="L10" s="185"/>
      <c r="M10" s="185"/>
      <c r="N10" s="185"/>
      <c r="O10" s="185"/>
      <c r="P10" s="185"/>
    </row>
    <row r="11" spans="1:16">
      <c r="A11" s="472"/>
      <c r="B11" s="552" t="s">
        <v>334</v>
      </c>
      <c r="C11" s="673" t="s">
        <v>422</v>
      </c>
      <c r="D11" s="673"/>
      <c r="E11" s="731"/>
      <c r="F11" s="1705">
        <f>Attach14!H8</f>
        <v>29071550.317054715</v>
      </c>
      <c r="G11" s="1703">
        <v>0</v>
      </c>
      <c r="H11" s="1706">
        <f>ROUND(F11+G11,0)</f>
        <v>29071550</v>
      </c>
      <c r="I11" s="344"/>
      <c r="J11" s="370"/>
      <c r="K11" s="185"/>
      <c r="L11" s="185"/>
      <c r="M11" s="185"/>
      <c r="N11" s="185"/>
      <c r="O11" s="185"/>
      <c r="P11" s="185"/>
    </row>
    <row r="12" spans="1:16">
      <c r="A12" s="303"/>
      <c r="B12" s="730"/>
      <c r="C12" s="673"/>
      <c r="D12" s="673"/>
      <c r="E12" s="344"/>
      <c r="F12" s="1724"/>
      <c r="G12" s="1732"/>
      <c r="H12" s="1724"/>
      <c r="I12" s="344"/>
      <c r="J12" s="370"/>
      <c r="K12" s="185"/>
      <c r="L12" s="185"/>
      <c r="M12" s="185"/>
      <c r="N12" s="185"/>
      <c r="O12" s="185"/>
      <c r="P12" s="185"/>
    </row>
    <row r="13" spans="1:16">
      <c r="A13" s="303"/>
      <c r="B13" s="730"/>
      <c r="C13" s="673" t="s">
        <v>705</v>
      </c>
      <c r="D13" s="673"/>
      <c r="E13" s="731"/>
      <c r="F13" s="1746">
        <f>Attach14!H10</f>
        <v>15107622</v>
      </c>
      <c r="G13" s="1703">
        <v>0</v>
      </c>
      <c r="H13" s="1707">
        <f>ROUND(F13+G13,0)</f>
        <v>15107622</v>
      </c>
      <c r="I13" s="1633"/>
      <c r="J13" s="370"/>
      <c r="K13" s="185"/>
      <c r="L13" s="185"/>
      <c r="M13" s="185"/>
      <c r="N13" s="185"/>
      <c r="O13" s="185"/>
      <c r="P13" s="185"/>
    </row>
    <row r="14" spans="1:16">
      <c r="A14" s="303"/>
      <c r="B14" s="730"/>
      <c r="C14" s="673" t="s">
        <v>707</v>
      </c>
      <c r="D14" s="673"/>
      <c r="E14" s="731"/>
      <c r="F14" s="1747">
        <f>Attach14!H11</f>
        <v>4833934</v>
      </c>
      <c r="G14" s="1747">
        <f>Attach20!K20</f>
        <v>0</v>
      </c>
      <c r="H14" s="1708">
        <f>ROUND(F14+G14,0)</f>
        <v>4833934</v>
      </c>
      <c r="I14" s="344"/>
      <c r="J14" s="370"/>
      <c r="K14" s="185"/>
      <c r="L14" s="185"/>
      <c r="M14" s="185"/>
      <c r="N14" s="185"/>
      <c r="O14" s="185"/>
      <c r="P14" s="185"/>
    </row>
    <row r="15" spans="1:16">
      <c r="A15" s="303"/>
      <c r="B15" s="730"/>
      <c r="C15" s="673" t="s">
        <v>1023</v>
      </c>
      <c r="D15" s="673"/>
      <c r="E15" s="731"/>
      <c r="F15" s="1747">
        <f>Attach14!H12</f>
        <v>471939</v>
      </c>
      <c r="G15" s="1736">
        <v>0</v>
      </c>
      <c r="H15" s="1708">
        <f>ROUND(F15+G15,0)</f>
        <v>471939</v>
      </c>
      <c r="I15" s="344"/>
      <c r="J15" s="370"/>
      <c r="K15" s="185"/>
      <c r="L15" s="185"/>
      <c r="M15" s="185"/>
      <c r="N15" s="185"/>
      <c r="O15" s="185"/>
      <c r="P15" s="185"/>
    </row>
    <row r="16" spans="1:16">
      <c r="A16" s="303"/>
      <c r="B16" s="730"/>
      <c r="C16" s="673"/>
      <c r="D16" s="673"/>
      <c r="E16" s="731"/>
      <c r="F16" s="1724"/>
      <c r="G16" s="1736">
        <v>0</v>
      </c>
      <c r="H16" s="1708">
        <f>ROUND(F16+G16,0)</f>
        <v>0</v>
      </c>
      <c r="I16" s="344"/>
      <c r="J16" s="370"/>
      <c r="K16" s="185"/>
      <c r="L16" s="185"/>
      <c r="M16" s="185"/>
      <c r="N16" s="185"/>
      <c r="O16" s="185"/>
      <c r="P16" s="185"/>
    </row>
    <row r="17" spans="1:16">
      <c r="A17" s="303"/>
      <c r="B17" s="730"/>
      <c r="C17" s="673" t="s">
        <v>708</v>
      </c>
      <c r="D17" s="673"/>
      <c r="E17" s="731"/>
      <c r="F17" s="1747">
        <f>Attach14!H14</f>
        <v>6563690</v>
      </c>
      <c r="G17" s="1724">
        <f>IF(Attach20!H35=0,0,ROUND(Attach20!H49-Attach8!I25,0))</f>
        <v>0</v>
      </c>
      <c r="H17" s="1709">
        <f>ROUND(F17+G17,0)</f>
        <v>6563690</v>
      </c>
      <c r="I17" s="1633"/>
      <c r="J17" s="370"/>
      <c r="K17" s="185"/>
      <c r="L17" s="185"/>
      <c r="M17" s="185"/>
      <c r="N17" s="185"/>
      <c r="O17" s="185"/>
      <c r="P17" s="185"/>
    </row>
    <row r="18" spans="1:16">
      <c r="A18" s="303"/>
      <c r="B18" s="730"/>
      <c r="C18" s="673"/>
      <c r="D18" s="673"/>
      <c r="E18" s="731"/>
      <c r="F18" s="1710"/>
      <c r="G18" s="1711"/>
      <c r="H18" s="1712"/>
      <c r="I18" s="1633"/>
      <c r="J18" s="370"/>
      <c r="K18" s="185"/>
      <c r="L18" s="185"/>
      <c r="M18" s="185"/>
      <c r="N18" s="185"/>
      <c r="O18" s="185"/>
      <c r="P18" s="185"/>
    </row>
    <row r="19" spans="1:16">
      <c r="A19" s="303"/>
      <c r="B19" s="730"/>
      <c r="C19" s="673" t="s">
        <v>710</v>
      </c>
      <c r="D19" s="673"/>
      <c r="E19" s="344"/>
      <c r="F19" s="1705">
        <f>SUM(F13:F17)</f>
        <v>26977185</v>
      </c>
      <c r="G19" s="1705">
        <f>SUM(G13:G17)</f>
        <v>0</v>
      </c>
      <c r="H19" s="1706">
        <f>ROUND(SUM(H13:H17),0)</f>
        <v>26977185</v>
      </c>
      <c r="I19" s="1633"/>
      <c r="J19" s="370"/>
      <c r="K19" s="185"/>
      <c r="L19" s="185"/>
      <c r="M19" s="185"/>
      <c r="N19" s="185"/>
      <c r="O19" s="185"/>
      <c r="P19" s="185"/>
    </row>
    <row r="20" spans="1:16">
      <c r="A20" s="303"/>
      <c r="B20" s="730"/>
      <c r="C20" s="673"/>
      <c r="D20" s="673"/>
      <c r="E20" s="344"/>
      <c r="F20" s="1724"/>
      <c r="G20" s="1724"/>
      <c r="H20" s="1748" t="s">
        <v>711</v>
      </c>
      <c r="I20" s="1228"/>
      <c r="J20" s="370"/>
      <c r="K20" s="185"/>
      <c r="L20" s="185"/>
      <c r="M20" s="185"/>
      <c r="N20" s="185"/>
      <c r="O20" s="185"/>
      <c r="P20" s="185"/>
    </row>
    <row r="21" spans="1:16" ht="13.5" thickBot="1">
      <c r="A21" s="303"/>
      <c r="B21" s="730"/>
      <c r="C21" s="677" t="str">
        <f>CONCATENATE("Net Operating Income (Loss)-Test Year ",TestYear)</f>
        <v>Net Operating Income (Loss)-Test Year 2015</v>
      </c>
      <c r="D21" s="673"/>
      <c r="E21" s="344"/>
      <c r="F21" s="1713">
        <f>ROUND(F11-F19,0)</f>
        <v>2094365</v>
      </c>
      <c r="G21" s="1713">
        <f>ROUND(G11-G19,0)</f>
        <v>0</v>
      </c>
      <c r="H21" s="1713">
        <f>ROUND(H11-H19,0)</f>
        <v>2094365</v>
      </c>
      <c r="I21" s="1633"/>
      <c r="J21" s="370"/>
      <c r="K21" s="185"/>
      <c r="L21" s="185"/>
      <c r="M21" s="185"/>
      <c r="N21" s="185"/>
      <c r="O21" s="185"/>
      <c r="P21" s="185"/>
    </row>
    <row r="22" spans="1:16" ht="13.5" thickTop="1">
      <c r="A22" s="303"/>
      <c r="B22" s="1749"/>
      <c r="C22" s="1015"/>
      <c r="D22" s="1015"/>
      <c r="E22" s="1714"/>
      <c r="F22" s="1715"/>
      <c r="G22" s="1716"/>
      <c r="H22" s="1717" t="s">
        <v>711</v>
      </c>
      <c r="I22" s="344"/>
      <c r="J22" s="370"/>
      <c r="K22" s="185"/>
      <c r="L22" s="185"/>
      <c r="M22" s="185"/>
      <c r="N22" s="185"/>
      <c r="O22" s="185"/>
      <c r="P22" s="185"/>
    </row>
    <row r="23" spans="1:16">
      <c r="A23" s="303"/>
      <c r="B23" s="730"/>
      <c r="C23" s="1704"/>
      <c r="D23" s="726"/>
      <c r="E23" s="1718"/>
      <c r="F23" s="1719"/>
      <c r="G23" s="1720"/>
      <c r="H23" s="1719"/>
      <c r="I23" s="1718"/>
      <c r="J23" s="370"/>
      <c r="K23" s="185"/>
      <c r="L23" s="185"/>
      <c r="M23" s="185"/>
      <c r="N23" s="185"/>
      <c r="O23" s="185"/>
      <c r="P23" s="185"/>
    </row>
    <row r="24" spans="1:16">
      <c r="A24" s="472"/>
      <c r="B24" s="552" t="s">
        <v>344</v>
      </c>
      <c r="C24" s="673"/>
      <c r="D24" s="673"/>
      <c r="E24" s="731"/>
      <c r="F24" s="1750"/>
      <c r="G24" s="1751"/>
      <c r="H24" s="1750"/>
      <c r="I24" s="344"/>
      <c r="J24" s="370"/>
      <c r="K24" s="185"/>
      <c r="L24" s="185"/>
      <c r="M24" s="185"/>
      <c r="N24" s="185"/>
      <c r="O24" s="185"/>
      <c r="P24" s="185"/>
    </row>
    <row r="25" spans="1:16">
      <c r="A25" s="303"/>
      <c r="B25" s="730"/>
      <c r="C25" s="673" t="s">
        <v>844</v>
      </c>
      <c r="D25" s="673"/>
      <c r="E25" s="1229"/>
      <c r="F25" s="1746">
        <f>TestYearTotalPlant</f>
        <v>213688352</v>
      </c>
      <c r="G25" s="1746">
        <f>Attach20!G20</f>
        <v>0</v>
      </c>
      <c r="H25" s="1707">
        <f>ROUND(F25+G25,0)</f>
        <v>213688352</v>
      </c>
      <c r="I25" s="1633"/>
      <c r="J25" s="370"/>
      <c r="K25" s="185"/>
      <c r="L25" s="185"/>
      <c r="M25" s="185"/>
      <c r="N25" s="185"/>
      <c r="O25" s="185"/>
      <c r="P25" s="185"/>
    </row>
    <row r="26" spans="1:16">
      <c r="A26" s="303"/>
      <c r="B26" s="730"/>
      <c r="C26" s="673"/>
      <c r="D26" s="673"/>
      <c r="E26" s="1229"/>
      <c r="F26" s="1721"/>
      <c r="G26" s="1721"/>
      <c r="H26" s="1722"/>
      <c r="I26" s="1633"/>
      <c r="J26" s="370"/>
      <c r="K26" s="185"/>
      <c r="L26" s="185"/>
      <c r="M26" s="185"/>
      <c r="N26" s="185"/>
      <c r="O26" s="185"/>
      <c r="P26" s="185"/>
    </row>
    <row r="27" spans="1:16">
      <c r="A27" s="303"/>
      <c r="B27" s="730"/>
      <c r="C27" s="673" t="s">
        <v>845</v>
      </c>
      <c r="D27" s="673"/>
      <c r="E27" s="1731"/>
      <c r="F27" s="1035">
        <f>Attach14!H25</f>
        <v>700000</v>
      </c>
      <c r="G27" s="1737">
        <v>0</v>
      </c>
      <c r="H27" s="1289">
        <f>ROUND(F27+G27,0)</f>
        <v>700000</v>
      </c>
      <c r="I27" s="344"/>
      <c r="J27" s="370"/>
      <c r="K27" s="185"/>
      <c r="L27" s="185"/>
      <c r="M27" s="185"/>
      <c r="N27" s="185"/>
      <c r="O27" s="185"/>
      <c r="P27" s="185"/>
    </row>
    <row r="28" spans="1:16">
      <c r="A28" s="303"/>
      <c r="B28" s="730"/>
      <c r="C28" s="673"/>
      <c r="D28" s="1752"/>
      <c r="E28" s="1229"/>
      <c r="F28" s="1029"/>
      <c r="G28" s="1723"/>
      <c r="H28" s="1029"/>
      <c r="I28" s="344"/>
      <c r="J28" s="370"/>
      <c r="K28" s="185"/>
      <c r="L28" s="185"/>
      <c r="M28" s="185"/>
      <c r="N28" s="185"/>
      <c r="O28" s="185"/>
      <c r="P28" s="185"/>
    </row>
    <row r="29" spans="1:16">
      <c r="A29" s="303"/>
      <c r="B29" s="730"/>
      <c r="C29" s="673" t="s">
        <v>846</v>
      </c>
      <c r="D29" s="1752"/>
      <c r="E29" s="1229"/>
      <c r="F29" s="1035">
        <f>Attach14!H28</f>
        <v>47883789</v>
      </c>
      <c r="G29" s="1035">
        <f>G14</f>
        <v>0</v>
      </c>
      <c r="H29" s="1289">
        <f>ROUND(F29+G29,0)</f>
        <v>47883789</v>
      </c>
      <c r="I29" s="344"/>
      <c r="J29" s="370"/>
      <c r="K29" s="185"/>
      <c r="L29" s="185"/>
      <c r="M29" s="185"/>
      <c r="N29" s="185"/>
      <c r="O29" s="185"/>
      <c r="P29" s="185"/>
    </row>
    <row r="30" spans="1:16">
      <c r="A30" s="303"/>
      <c r="B30" s="730"/>
      <c r="C30" s="673"/>
      <c r="D30" s="673"/>
      <c r="E30" s="1731"/>
      <c r="F30" s="1029"/>
      <c r="G30" s="1029"/>
      <c r="H30" s="1723"/>
      <c r="I30" s="344"/>
      <c r="J30" s="370"/>
      <c r="K30" s="185"/>
      <c r="L30" s="185"/>
      <c r="M30" s="185"/>
      <c r="N30" s="185"/>
      <c r="O30" s="185"/>
      <c r="P30" s="185"/>
    </row>
    <row r="31" spans="1:16">
      <c r="A31" s="303"/>
      <c r="B31" s="730"/>
      <c r="C31" s="673" t="s">
        <v>847</v>
      </c>
      <c r="D31" s="673"/>
      <c r="E31" s="1731"/>
      <c r="F31" s="1338">
        <f>Attach14!H31</f>
        <v>3906897</v>
      </c>
      <c r="G31" s="1737">
        <v>0</v>
      </c>
      <c r="H31" s="1337">
        <f>ROUND(F31+G31,0)</f>
        <v>3906897</v>
      </c>
      <c r="I31" s="344"/>
      <c r="J31" s="370"/>
      <c r="K31" s="185"/>
      <c r="L31" s="185"/>
      <c r="M31" s="185"/>
      <c r="N31" s="185"/>
      <c r="O31" s="185"/>
      <c r="P31" s="185"/>
    </row>
    <row r="32" spans="1:16">
      <c r="A32" s="303"/>
      <c r="B32" s="730"/>
      <c r="C32" s="673"/>
      <c r="D32" s="673"/>
      <c r="E32" s="1731"/>
      <c r="F32" s="1724"/>
      <c r="G32" s="1724"/>
      <c r="H32" s="1724"/>
      <c r="I32" s="344"/>
      <c r="J32" s="370"/>
      <c r="K32" s="185"/>
      <c r="L32" s="185"/>
      <c r="M32" s="185"/>
      <c r="N32" s="185"/>
      <c r="O32" s="185"/>
      <c r="P32" s="185"/>
    </row>
    <row r="33" spans="1:16" ht="13.5" thickBot="1">
      <c r="A33" s="303"/>
      <c r="B33" s="730"/>
      <c r="C33" s="677" t="s">
        <v>848</v>
      </c>
      <c r="D33" s="1752"/>
      <c r="E33" s="1229"/>
      <c r="F33" s="1725">
        <f>F25+F27-F29-F31</f>
        <v>162597666</v>
      </c>
      <c r="G33" s="1725">
        <f>G25+G27-G29-G31</f>
        <v>0</v>
      </c>
      <c r="H33" s="1725">
        <f>H25+H27-H29-H31</f>
        <v>162597666</v>
      </c>
      <c r="I33" s="344"/>
      <c r="J33" s="370"/>
      <c r="K33" s="185"/>
      <c r="L33" s="185"/>
      <c r="M33" s="185"/>
      <c r="N33" s="185"/>
      <c r="O33" s="185"/>
      <c r="P33" s="185"/>
    </row>
    <row r="34" spans="1:16" ht="13.5" thickTop="1">
      <c r="A34" s="303"/>
      <c r="B34" s="730"/>
      <c r="C34" s="673"/>
      <c r="D34" s="673"/>
      <c r="E34" s="1731"/>
      <c r="F34" s="1732"/>
      <c r="G34" s="1721"/>
      <c r="H34" s="1726"/>
      <c r="I34" s="731"/>
      <c r="J34" s="370"/>
      <c r="K34" s="185"/>
      <c r="L34" s="185"/>
      <c r="M34" s="185"/>
      <c r="N34" s="185"/>
      <c r="O34" s="185"/>
      <c r="P34" s="185"/>
    </row>
    <row r="35" spans="1:16">
      <c r="A35" s="303"/>
      <c r="B35" s="1753"/>
      <c r="C35" s="1714"/>
      <c r="D35" s="1013"/>
      <c r="E35" s="1727"/>
      <c r="F35" s="1728"/>
      <c r="G35" s="1729"/>
      <c r="H35" s="1730"/>
      <c r="I35" s="731"/>
      <c r="J35" s="370"/>
      <c r="K35" s="185"/>
      <c r="L35" s="185"/>
      <c r="M35" s="185"/>
      <c r="N35" s="185"/>
      <c r="O35" s="185"/>
      <c r="P35" s="185"/>
    </row>
    <row r="36" spans="1:16">
      <c r="A36" s="303"/>
      <c r="B36" s="373"/>
      <c r="C36" s="344"/>
      <c r="D36" s="344"/>
      <c r="E36" s="1731"/>
      <c r="F36" s="1732"/>
      <c r="G36" s="1732"/>
      <c r="H36" s="1726"/>
      <c r="I36" s="344"/>
      <c r="J36" s="370"/>
      <c r="K36" s="185"/>
      <c r="L36" s="185"/>
      <c r="M36" s="185"/>
      <c r="N36" s="185"/>
      <c r="O36" s="185"/>
      <c r="P36" s="185"/>
    </row>
    <row r="37" spans="1:16">
      <c r="A37" s="472"/>
      <c r="B37" s="552" t="s">
        <v>719</v>
      </c>
      <c r="C37" s="673" t="s">
        <v>720</v>
      </c>
      <c r="D37" s="673"/>
      <c r="E37" s="673"/>
      <c r="F37" s="673"/>
      <c r="G37" s="1237" t="s">
        <v>721</v>
      </c>
      <c r="H37" s="1503">
        <f>H33</f>
        <v>162597666</v>
      </c>
      <c r="I37" s="344"/>
      <c r="J37" s="370"/>
      <c r="K37" s="185"/>
      <c r="L37" s="185"/>
      <c r="M37" s="185"/>
      <c r="N37" s="185"/>
      <c r="O37" s="185"/>
      <c r="P37" s="185"/>
    </row>
    <row r="38" spans="1:16">
      <c r="A38" s="303"/>
      <c r="B38" s="373"/>
      <c r="C38" s="677" t="s">
        <v>1024</v>
      </c>
      <c r="D38" s="673"/>
      <c r="E38" s="673"/>
      <c r="F38" s="673"/>
      <c r="G38" s="673"/>
      <c r="H38" s="673"/>
      <c r="I38" s="344"/>
      <c r="J38" s="370"/>
      <c r="K38" s="185"/>
      <c r="L38" s="185"/>
      <c r="M38" s="185"/>
      <c r="N38" s="185"/>
      <c r="O38" s="185"/>
      <c r="P38" s="185"/>
    </row>
    <row r="39" spans="1:16">
      <c r="A39" s="303"/>
      <c r="B39" s="373"/>
      <c r="C39" s="2141" t="s">
        <v>1028</v>
      </c>
      <c r="D39" s="2142"/>
      <c r="E39" s="2142"/>
      <c r="F39" s="1757">
        <f>Attach14!G38</f>
        <v>6.5000000000000002E-2</v>
      </c>
      <c r="G39" s="1745"/>
      <c r="H39" s="1738">
        <f>F39</f>
        <v>6.5000000000000002E-2</v>
      </c>
      <c r="I39" s="344"/>
      <c r="J39" s="370"/>
      <c r="K39" s="185"/>
      <c r="L39" s="185"/>
      <c r="M39" s="185"/>
      <c r="N39" s="185"/>
      <c r="O39" s="185"/>
      <c r="P39" s="185"/>
    </row>
    <row r="40" spans="1:16">
      <c r="A40" s="303"/>
      <c r="B40" s="373"/>
      <c r="C40" s="2142"/>
      <c r="D40" s="2142"/>
      <c r="E40" s="2142"/>
      <c r="F40" s="673"/>
      <c r="G40" s="673"/>
      <c r="H40" s="1739"/>
      <c r="I40" s="344"/>
      <c r="J40" s="370"/>
      <c r="K40" s="185"/>
      <c r="L40" s="185"/>
      <c r="M40" s="185"/>
      <c r="N40" s="185"/>
      <c r="O40" s="185"/>
      <c r="P40" s="185"/>
    </row>
    <row r="41" spans="1:16" ht="13.5" thickBot="1">
      <c r="A41" s="303"/>
      <c r="B41" s="373"/>
      <c r="C41" s="673" t="s">
        <v>723</v>
      </c>
      <c r="D41" s="673"/>
      <c r="E41" s="673"/>
      <c r="F41" s="673"/>
      <c r="G41" s="726"/>
      <c r="H41" s="1740">
        <f>ROUND(H37*H39,0)</f>
        <v>10568848</v>
      </c>
      <c r="I41" s="941" t="s">
        <v>487</v>
      </c>
      <c r="J41" s="370"/>
      <c r="K41" s="185"/>
      <c r="L41" s="185"/>
      <c r="M41" s="185"/>
      <c r="N41" s="185"/>
      <c r="O41" s="185"/>
      <c r="P41" s="185"/>
    </row>
    <row r="42" spans="1:16" ht="13.5" thickTop="1">
      <c r="A42" s="303"/>
      <c r="B42" s="373"/>
      <c r="C42" s="673"/>
      <c r="D42" s="673"/>
      <c r="E42" s="673"/>
      <c r="F42" s="673"/>
      <c r="G42" s="726"/>
      <c r="H42" s="1501"/>
      <c r="I42" s="731"/>
      <c r="J42" s="370"/>
      <c r="K42" s="185"/>
      <c r="L42" s="185"/>
      <c r="M42" s="185"/>
      <c r="N42" s="185"/>
      <c r="O42" s="185"/>
      <c r="P42" s="185"/>
    </row>
    <row r="43" spans="1:16">
      <c r="A43" s="303"/>
      <c r="B43" s="373"/>
      <c r="C43" s="673" t="s">
        <v>705</v>
      </c>
      <c r="D43" s="673"/>
      <c r="E43" s="673"/>
      <c r="F43" s="673"/>
      <c r="G43" s="1237" t="s">
        <v>724</v>
      </c>
      <c r="H43" s="1754">
        <f>H13</f>
        <v>15107622</v>
      </c>
      <c r="I43" s="731"/>
      <c r="J43" s="370"/>
      <c r="K43" s="185"/>
      <c r="L43" s="185"/>
      <c r="M43" s="185"/>
      <c r="N43" s="185"/>
      <c r="O43" s="185"/>
      <c r="P43" s="185"/>
    </row>
    <row r="44" spans="1:16">
      <c r="A44" s="303"/>
      <c r="B44" s="373"/>
      <c r="C44" s="677" t="s">
        <v>1025</v>
      </c>
      <c r="D44" s="673"/>
      <c r="E44" s="673"/>
      <c r="F44" s="673"/>
      <c r="G44" s="726"/>
      <c r="H44" s="1738">
        <v>0.06</v>
      </c>
      <c r="I44" s="731"/>
      <c r="J44" s="370"/>
      <c r="K44" s="185"/>
      <c r="L44" s="185"/>
      <c r="M44" s="185"/>
      <c r="N44" s="185"/>
      <c r="O44" s="185"/>
      <c r="P44" s="185"/>
    </row>
    <row r="45" spans="1:16" ht="13.5" thickBot="1">
      <c r="A45" s="303"/>
      <c r="B45" s="373"/>
      <c r="C45" s="673" t="s">
        <v>725</v>
      </c>
      <c r="D45" s="673"/>
      <c r="E45" s="673"/>
      <c r="F45" s="673"/>
      <c r="G45" s="673"/>
      <c r="H45" s="1740">
        <f>ROUND(H43*H44,0)</f>
        <v>906457</v>
      </c>
      <c r="I45" s="941" t="s">
        <v>489</v>
      </c>
      <c r="J45" s="370"/>
      <c r="K45" s="185"/>
      <c r="L45" s="185"/>
      <c r="M45" s="185"/>
      <c r="N45" s="185"/>
      <c r="O45" s="185"/>
      <c r="P45" s="185"/>
    </row>
    <row r="46" spans="1:16" ht="13.5" thickTop="1">
      <c r="A46" s="303"/>
      <c r="B46" s="373"/>
      <c r="C46" s="673"/>
      <c r="D46" s="673"/>
      <c r="E46" s="673"/>
      <c r="F46" s="673"/>
      <c r="G46" s="673"/>
      <c r="H46" s="1501"/>
      <c r="I46" s="344"/>
      <c r="J46" s="370"/>
      <c r="K46" s="185"/>
      <c r="L46" s="185"/>
      <c r="M46" s="185"/>
      <c r="N46" s="185"/>
      <c r="O46" s="185"/>
      <c r="P46" s="185"/>
    </row>
    <row r="47" spans="1:16">
      <c r="A47" s="303"/>
      <c r="B47" s="373"/>
      <c r="C47" s="677" t="s">
        <v>726</v>
      </c>
      <c r="D47" s="673"/>
      <c r="E47" s="673"/>
      <c r="F47" s="673"/>
      <c r="G47" s="673"/>
      <c r="H47" s="673"/>
      <c r="I47" s="1633"/>
      <c r="J47" s="370"/>
      <c r="K47" s="185"/>
      <c r="L47" s="185"/>
      <c r="M47" s="185"/>
      <c r="N47" s="185"/>
      <c r="O47" s="185"/>
      <c r="P47" s="185"/>
    </row>
    <row r="48" spans="1:16">
      <c r="A48" s="303"/>
      <c r="B48" s="373"/>
      <c r="C48" s="673" t="s">
        <v>1026</v>
      </c>
      <c r="D48" s="673"/>
      <c r="E48" s="673"/>
      <c r="F48" s="673"/>
      <c r="G48" s="673"/>
      <c r="H48" s="1503">
        <f>IF(H41&gt;H45,H41,H45)</f>
        <v>10568848</v>
      </c>
      <c r="I48" s="731"/>
      <c r="J48" s="370"/>
      <c r="K48" s="185"/>
      <c r="L48" s="185"/>
      <c r="M48" s="185"/>
      <c r="N48" s="185"/>
      <c r="O48" s="185"/>
      <c r="P48" s="185"/>
    </row>
    <row r="49" spans="1:16">
      <c r="A49" s="303"/>
      <c r="B49" s="373"/>
      <c r="C49" s="673"/>
      <c r="D49" s="673"/>
      <c r="E49" s="673"/>
      <c r="F49" s="673"/>
      <c r="G49" s="673"/>
      <c r="H49" s="1501"/>
      <c r="I49" s="344"/>
      <c r="J49" s="370"/>
      <c r="K49" s="185"/>
      <c r="L49" s="185"/>
      <c r="M49" s="185"/>
      <c r="N49" s="185"/>
      <c r="O49" s="185"/>
      <c r="P49" s="185"/>
    </row>
    <row r="50" spans="1:16">
      <c r="A50" s="303"/>
      <c r="B50" s="373"/>
      <c r="C50" s="673" t="s">
        <v>849</v>
      </c>
      <c r="D50" s="673"/>
      <c r="E50" s="673"/>
      <c r="F50" s="673"/>
      <c r="G50" s="1237" t="s">
        <v>724</v>
      </c>
      <c r="H50" s="1741">
        <f>H21</f>
        <v>2094365</v>
      </c>
      <c r="I50" s="344"/>
      <c r="J50" s="370"/>
      <c r="K50" s="185"/>
      <c r="L50" s="185"/>
      <c r="M50" s="185"/>
      <c r="N50" s="185"/>
      <c r="O50" s="185"/>
      <c r="P50" s="185"/>
    </row>
    <row r="51" spans="1:16">
      <c r="A51" s="303"/>
      <c r="B51" s="373"/>
      <c r="C51" s="673"/>
      <c r="D51" s="673"/>
      <c r="E51" s="673"/>
      <c r="F51" s="673"/>
      <c r="G51" s="673"/>
      <c r="H51" s="676" t="s">
        <v>711</v>
      </c>
      <c r="I51" s="344"/>
      <c r="J51" s="370"/>
      <c r="K51" s="185"/>
      <c r="L51" s="185"/>
      <c r="M51" s="185"/>
      <c r="N51" s="185"/>
      <c r="O51" s="185"/>
      <c r="P51" s="185"/>
    </row>
    <row r="52" spans="1:16" ht="13.5" thickBot="1">
      <c r="A52" s="303"/>
      <c r="B52" s="373"/>
      <c r="C52" s="2145" t="str">
        <f>CONCATENATE("Increase Requested-Test Year ",TestYear,"--Combined Step I and II")</f>
        <v>Increase Requested-Test Year 2015--Combined Step I and II</v>
      </c>
      <c r="D52" s="2146"/>
      <c r="E52" s="2146"/>
      <c r="F52" s="2146"/>
      <c r="G52" s="2146"/>
      <c r="H52" s="1740">
        <f>H48-H50</f>
        <v>8474483</v>
      </c>
      <c r="I52" s="344"/>
      <c r="J52" s="370"/>
      <c r="K52" s="185"/>
      <c r="L52" s="185"/>
      <c r="M52" s="185"/>
      <c r="N52" s="185"/>
      <c r="O52" s="185"/>
      <c r="P52" s="185"/>
    </row>
    <row r="53" spans="1:16" ht="14.25" thickTop="1" thickBot="1">
      <c r="A53" s="303"/>
      <c r="B53" s="373"/>
      <c r="C53" s="673"/>
      <c r="D53" s="673" t="s">
        <v>728</v>
      </c>
      <c r="E53" s="673"/>
      <c r="F53" s="673"/>
      <c r="G53" s="673"/>
      <c r="H53" s="726"/>
      <c r="I53" s="344"/>
      <c r="J53" s="370"/>
      <c r="K53" s="185"/>
      <c r="L53" s="185"/>
      <c r="M53" s="185"/>
      <c r="N53" s="185"/>
      <c r="O53" s="185"/>
      <c r="P53" s="185"/>
    </row>
    <row r="54" spans="1:16" ht="13.5" thickBot="1">
      <c r="A54" s="303"/>
      <c r="B54" s="373"/>
      <c r="C54" s="673"/>
      <c r="D54" s="673" t="s">
        <v>1027</v>
      </c>
      <c r="E54" s="673"/>
      <c r="F54" s="673"/>
      <c r="G54" s="1742">
        <f>IF(Attach7!H38&lt;&gt;0,H52/Attach7!H38,0)</f>
        <v>0.30416408647628512</v>
      </c>
      <c r="H54" s="673"/>
      <c r="I54" s="344"/>
      <c r="J54" s="370"/>
      <c r="K54" s="185"/>
      <c r="L54" s="185"/>
      <c r="M54" s="185"/>
      <c r="N54" s="185"/>
      <c r="O54" s="185"/>
      <c r="P54" s="185"/>
    </row>
    <row r="55" spans="1:16" ht="15" customHeight="1">
      <c r="A55" s="303"/>
      <c r="B55" s="373"/>
      <c r="C55" s="673"/>
      <c r="D55" s="673"/>
      <c r="E55" s="673"/>
      <c r="F55" s="673"/>
      <c r="G55" s="673"/>
      <c r="H55" s="673"/>
      <c r="I55" s="344"/>
      <c r="J55" s="370"/>
      <c r="K55" s="185"/>
      <c r="L55" s="185"/>
      <c r="M55" s="185"/>
      <c r="N55" s="185"/>
      <c r="O55" s="185"/>
      <c r="P55" s="185"/>
    </row>
    <row r="56" spans="1:16">
      <c r="A56" s="303"/>
      <c r="B56" s="373"/>
      <c r="C56" s="344"/>
      <c r="D56" s="344"/>
      <c r="E56" s="344"/>
      <c r="F56" s="1732"/>
      <c r="G56" s="1732"/>
      <c r="H56" s="1732"/>
      <c r="I56" s="344"/>
      <c r="J56" s="370"/>
      <c r="K56" s="185"/>
      <c r="L56" s="185"/>
      <c r="M56" s="185"/>
      <c r="N56" s="185"/>
      <c r="O56" s="185"/>
      <c r="P56" s="185"/>
    </row>
    <row r="57" spans="1:16">
      <c r="A57" s="303"/>
      <c r="B57" s="373"/>
      <c r="C57" s="344"/>
      <c r="D57" s="344"/>
      <c r="E57" s="344"/>
      <c r="F57" s="1750"/>
      <c r="G57" s="1750"/>
      <c r="H57" s="1750"/>
      <c r="I57" s="344"/>
      <c r="J57" s="370"/>
      <c r="K57" s="185"/>
      <c r="L57" s="185"/>
      <c r="M57" s="185"/>
      <c r="N57" s="185"/>
      <c r="O57" s="185"/>
      <c r="P57" s="185"/>
    </row>
    <row r="58" spans="1:16">
      <c r="A58" s="303"/>
      <c r="B58" s="373"/>
      <c r="C58" s="344"/>
      <c r="D58" s="344"/>
      <c r="E58" s="344"/>
      <c r="F58" s="1750"/>
      <c r="G58" s="1750"/>
      <c r="H58" s="1750"/>
      <c r="I58" s="1755"/>
      <c r="J58" s="370"/>
      <c r="K58" s="185"/>
      <c r="L58" s="185"/>
      <c r="M58" s="185"/>
      <c r="N58" s="185"/>
      <c r="O58" s="185"/>
      <c r="P58" s="185"/>
    </row>
    <row r="59" spans="1:16" ht="13.5" thickBot="1">
      <c r="A59" s="303"/>
      <c r="B59" s="384"/>
      <c r="C59" s="385"/>
      <c r="D59" s="385"/>
      <c r="E59" s="385"/>
      <c r="F59" s="1756"/>
      <c r="G59" s="1756"/>
      <c r="H59" s="1756"/>
      <c r="I59" s="385"/>
      <c r="J59" s="386"/>
      <c r="K59" s="185"/>
      <c r="L59" s="185"/>
      <c r="M59" s="185"/>
      <c r="N59" s="185"/>
      <c r="O59" s="185"/>
      <c r="P59" s="185"/>
    </row>
    <row r="60" spans="1:16" ht="13.5" thickTop="1">
      <c r="A60" s="303"/>
      <c r="B60" s="185"/>
      <c r="C60" s="185"/>
      <c r="D60" s="185"/>
      <c r="E60" s="185"/>
      <c r="F60" s="1700"/>
      <c r="G60" s="1700"/>
      <c r="H60" s="1700"/>
      <c r="I60" s="185"/>
      <c r="J60" s="185"/>
      <c r="K60" s="185"/>
      <c r="L60" s="185"/>
      <c r="M60" s="185"/>
      <c r="N60" s="185"/>
      <c r="O60" s="185"/>
      <c r="P60" s="185"/>
    </row>
    <row r="61" spans="1:16">
      <c r="A61" s="303"/>
      <c r="B61" s="185"/>
      <c r="C61" s="185"/>
      <c r="D61" s="185"/>
      <c r="E61" s="185"/>
      <c r="F61" s="1700"/>
      <c r="G61" s="1700"/>
      <c r="H61" s="1700"/>
      <c r="I61" s="185"/>
      <c r="J61" s="185"/>
      <c r="K61" s="185"/>
      <c r="L61" s="185"/>
      <c r="M61" s="185"/>
      <c r="N61" s="185"/>
      <c r="O61" s="185"/>
      <c r="P61" s="185"/>
    </row>
    <row r="62" spans="1:16">
      <c r="A62" s="303"/>
      <c r="B62" s="185"/>
      <c r="C62" s="185"/>
      <c r="D62" s="185"/>
      <c r="E62" s="185"/>
      <c r="F62" s="1700"/>
      <c r="G62" s="1700"/>
      <c r="H62" s="1700"/>
      <c r="I62" s="185"/>
      <c r="J62" s="185"/>
      <c r="K62" s="185"/>
      <c r="L62" s="185"/>
      <c r="M62" s="185"/>
      <c r="N62" s="185"/>
      <c r="O62" s="185"/>
      <c r="P62" s="185"/>
    </row>
    <row r="63" spans="1:16">
      <c r="A63" s="303"/>
      <c r="B63" s="185"/>
      <c r="C63" s="185"/>
      <c r="D63" s="185"/>
      <c r="E63" s="185"/>
      <c r="F63" s="1700"/>
      <c r="G63" s="1700"/>
      <c r="H63" s="1700"/>
      <c r="I63" s="185"/>
      <c r="J63" s="185"/>
      <c r="K63" s="185"/>
      <c r="L63" s="185"/>
      <c r="M63" s="185"/>
      <c r="N63" s="185"/>
      <c r="O63" s="185"/>
      <c r="P63" s="185"/>
    </row>
    <row r="64" spans="1:16">
      <c r="A64" s="303"/>
      <c r="B64" s="185"/>
      <c r="C64" s="185"/>
      <c r="D64" s="185"/>
      <c r="E64" s="185"/>
      <c r="F64" s="1700"/>
      <c r="G64" s="1700"/>
      <c r="H64" s="1700"/>
      <c r="I64" s="185"/>
      <c r="J64" s="185"/>
      <c r="K64" s="185"/>
      <c r="L64" s="185"/>
      <c r="M64" s="185"/>
      <c r="N64" s="185"/>
      <c r="O64" s="185"/>
      <c r="P64" s="185"/>
    </row>
    <row r="65" spans="1:16">
      <c r="A65" s="303"/>
      <c r="B65" s="185"/>
      <c r="C65" s="185"/>
      <c r="D65" s="185"/>
      <c r="E65" s="185"/>
      <c r="F65" s="1700"/>
      <c r="G65" s="1700"/>
      <c r="H65" s="1700"/>
      <c r="I65" s="185"/>
      <c r="J65" s="185"/>
      <c r="K65" s="185"/>
      <c r="L65" s="185"/>
      <c r="M65" s="185"/>
      <c r="N65" s="185"/>
      <c r="O65" s="185"/>
      <c r="P65" s="185"/>
    </row>
    <row r="66" spans="1:16">
      <c r="A66" s="303"/>
      <c r="B66" s="185"/>
      <c r="C66" s="185"/>
      <c r="D66" s="185"/>
      <c r="E66" s="185"/>
      <c r="F66" s="1700"/>
      <c r="G66" s="1700"/>
      <c r="H66" s="1700"/>
      <c r="I66" s="185"/>
      <c r="J66" s="185"/>
      <c r="K66" s="185"/>
      <c r="L66" s="185"/>
      <c r="M66" s="185"/>
      <c r="N66" s="185"/>
      <c r="O66" s="185"/>
      <c r="P66" s="185"/>
    </row>
    <row r="67" spans="1:16">
      <c r="A67" s="303"/>
      <c r="B67" s="185"/>
      <c r="C67" s="185"/>
      <c r="D67" s="185"/>
      <c r="E67" s="185"/>
      <c r="F67" s="1700"/>
      <c r="G67" s="1700"/>
      <c r="H67" s="1700"/>
      <c r="I67" s="185"/>
      <c r="J67" s="185"/>
      <c r="K67" s="185"/>
      <c r="L67" s="185"/>
      <c r="M67" s="185"/>
      <c r="N67" s="185"/>
      <c r="O67" s="185"/>
      <c r="P67" s="185"/>
    </row>
    <row r="68" spans="1:16">
      <c r="A68" s="303"/>
      <c r="B68" s="185"/>
      <c r="C68" s="185"/>
      <c r="D68" s="185"/>
      <c r="E68" s="185"/>
      <c r="F68" s="1700"/>
      <c r="G68" s="1700"/>
      <c r="H68" s="1700"/>
      <c r="I68" s="185"/>
      <c r="J68" s="185"/>
      <c r="K68" s="185"/>
      <c r="L68" s="185"/>
      <c r="M68" s="185"/>
      <c r="N68" s="185"/>
      <c r="O68" s="185"/>
      <c r="P68" s="185"/>
    </row>
    <row r="69" spans="1:16">
      <c r="A69" s="303"/>
      <c r="B69" s="185"/>
      <c r="C69" s="185"/>
      <c r="D69" s="185"/>
      <c r="E69" s="185"/>
      <c r="F69" s="1700"/>
      <c r="G69" s="1700"/>
      <c r="H69" s="1700"/>
      <c r="I69" s="185"/>
      <c r="J69" s="185"/>
      <c r="K69" s="185"/>
      <c r="L69" s="185"/>
      <c r="M69" s="185"/>
      <c r="N69" s="185"/>
      <c r="O69" s="185"/>
      <c r="P69" s="185"/>
    </row>
    <row r="70" spans="1:16">
      <c r="A70" s="303"/>
      <c r="B70" s="185"/>
      <c r="C70" s="185"/>
      <c r="D70" s="185"/>
      <c r="E70" s="185"/>
      <c r="F70" s="1700"/>
      <c r="G70" s="1700"/>
      <c r="H70" s="1700"/>
      <c r="I70" s="185"/>
      <c r="J70" s="185"/>
      <c r="K70" s="185"/>
      <c r="L70" s="185"/>
      <c r="M70" s="185"/>
      <c r="N70" s="185"/>
      <c r="O70" s="185"/>
      <c r="P70" s="185"/>
    </row>
    <row r="71" spans="1:16">
      <c r="A71" s="303"/>
      <c r="B71" s="185"/>
      <c r="C71" s="185"/>
      <c r="D71" s="185"/>
      <c r="E71" s="185"/>
      <c r="F71" s="1700"/>
      <c r="G71" s="1700"/>
      <c r="H71" s="1700"/>
      <c r="I71" s="185"/>
      <c r="J71" s="185"/>
      <c r="K71" s="185"/>
      <c r="L71" s="185"/>
      <c r="M71" s="185"/>
      <c r="N71" s="185"/>
      <c r="O71" s="185"/>
      <c r="P71" s="185"/>
    </row>
    <row r="72" spans="1:16">
      <c r="A72" s="303"/>
      <c r="B72" s="185"/>
      <c r="C72" s="185"/>
      <c r="D72" s="185"/>
      <c r="E72" s="185"/>
      <c r="F72" s="1700"/>
      <c r="G72" s="1700"/>
      <c r="H72" s="1700"/>
      <c r="I72" s="185"/>
      <c r="J72" s="185"/>
      <c r="K72" s="185"/>
      <c r="L72" s="185"/>
      <c r="M72" s="185"/>
      <c r="N72" s="185"/>
      <c r="O72" s="185"/>
      <c r="P72" s="185"/>
    </row>
    <row r="73" spans="1:16">
      <c r="A73" s="303"/>
      <c r="B73" s="185"/>
      <c r="C73" s="185"/>
      <c r="D73" s="185"/>
      <c r="E73" s="185"/>
      <c r="F73" s="1700"/>
      <c r="G73" s="1700"/>
      <c r="H73" s="1700"/>
      <c r="I73" s="185"/>
      <c r="J73" s="185"/>
      <c r="K73" s="185"/>
      <c r="L73" s="185"/>
      <c r="M73" s="185"/>
      <c r="N73" s="185"/>
      <c r="O73" s="185"/>
      <c r="P73" s="185"/>
    </row>
    <row r="74" spans="1:16">
      <c r="A74" s="303"/>
      <c r="B74" s="185"/>
      <c r="C74" s="185"/>
      <c r="D74" s="185"/>
      <c r="E74" s="185"/>
      <c r="F74" s="1700"/>
      <c r="G74" s="1700"/>
      <c r="H74" s="1700"/>
      <c r="I74" s="185"/>
      <c r="J74" s="185"/>
      <c r="K74" s="185"/>
      <c r="L74" s="185"/>
      <c r="M74" s="185"/>
      <c r="N74" s="185"/>
      <c r="O74" s="185"/>
      <c r="P74" s="185"/>
    </row>
    <row r="75" spans="1:16">
      <c r="A75" s="303"/>
      <c r="B75" s="185"/>
      <c r="C75" s="185"/>
      <c r="D75" s="185"/>
      <c r="E75" s="185"/>
      <c r="F75" s="1700"/>
      <c r="G75" s="1700"/>
      <c r="H75" s="1700"/>
      <c r="I75" s="185"/>
      <c r="J75" s="185"/>
      <c r="K75" s="185"/>
      <c r="L75" s="185"/>
      <c r="M75" s="185"/>
      <c r="N75" s="185"/>
      <c r="O75" s="185"/>
      <c r="P75" s="185"/>
    </row>
    <row r="76" spans="1:16">
      <c r="A76" s="303"/>
      <c r="B76" s="185"/>
      <c r="C76" s="185"/>
      <c r="D76" s="185"/>
      <c r="E76" s="185"/>
      <c r="F76" s="1700"/>
      <c r="G76" s="1700"/>
      <c r="H76" s="1700"/>
      <c r="I76" s="185"/>
      <c r="J76" s="185"/>
      <c r="K76" s="185"/>
      <c r="L76" s="185"/>
      <c r="M76" s="185"/>
      <c r="N76" s="185"/>
      <c r="O76" s="185"/>
      <c r="P76" s="185"/>
    </row>
    <row r="77" spans="1:16">
      <c r="A77" s="303"/>
      <c r="B77" s="185"/>
      <c r="C77" s="185"/>
      <c r="D77" s="185"/>
      <c r="E77" s="185"/>
      <c r="F77" s="1700"/>
      <c r="G77" s="1700"/>
      <c r="H77" s="1700"/>
      <c r="I77" s="185"/>
      <c r="J77" s="185"/>
      <c r="K77" s="185"/>
      <c r="L77" s="185"/>
      <c r="M77" s="185"/>
      <c r="N77" s="185"/>
      <c r="O77" s="185"/>
      <c r="P77" s="185"/>
    </row>
    <row r="78" spans="1:16">
      <c r="A78" s="303"/>
      <c r="B78" s="185"/>
      <c r="C78" s="185"/>
      <c r="D78" s="185"/>
      <c r="E78" s="185"/>
      <c r="F78" s="1700"/>
      <c r="G78" s="1700"/>
      <c r="H78" s="1700"/>
      <c r="I78" s="185"/>
      <c r="J78" s="185"/>
      <c r="K78" s="185"/>
      <c r="L78" s="185"/>
      <c r="M78" s="185"/>
      <c r="N78" s="185"/>
      <c r="O78" s="185"/>
      <c r="P78" s="185"/>
    </row>
    <row r="79" spans="1:16">
      <c r="A79" s="303"/>
      <c r="B79" s="185"/>
      <c r="C79" s="185"/>
      <c r="D79" s="185"/>
      <c r="E79" s="185"/>
      <c r="F79" s="1700"/>
      <c r="G79" s="1700"/>
      <c r="H79" s="1700"/>
      <c r="I79" s="185"/>
      <c r="J79" s="185"/>
      <c r="K79" s="185"/>
      <c r="L79" s="185"/>
      <c r="M79" s="185"/>
      <c r="N79" s="185"/>
      <c r="O79" s="185"/>
      <c r="P79" s="185"/>
    </row>
    <row r="80" spans="1:16">
      <c r="A80" s="303"/>
      <c r="B80" s="185"/>
      <c r="C80" s="185"/>
      <c r="D80" s="185"/>
      <c r="E80" s="185"/>
      <c r="F80" s="1700"/>
      <c r="G80" s="1700"/>
      <c r="H80" s="1700"/>
      <c r="I80" s="185"/>
      <c r="J80" s="185"/>
      <c r="K80" s="185"/>
      <c r="L80" s="185"/>
      <c r="M80" s="185"/>
      <c r="N80" s="185"/>
      <c r="O80" s="185"/>
      <c r="P80" s="185"/>
    </row>
    <row r="81" spans="1:16">
      <c r="A81" s="303"/>
      <c r="B81" s="185"/>
      <c r="C81" s="185"/>
      <c r="D81" s="185"/>
      <c r="E81" s="185"/>
      <c r="F81" s="1700"/>
      <c r="G81" s="1700"/>
      <c r="H81" s="1700"/>
      <c r="I81" s="185"/>
      <c r="J81" s="185"/>
      <c r="K81" s="185"/>
      <c r="L81" s="185"/>
      <c r="M81" s="185"/>
      <c r="N81" s="185"/>
      <c r="O81" s="185"/>
      <c r="P81" s="185"/>
    </row>
    <row r="82" spans="1:16">
      <c r="A82" s="303"/>
      <c r="B82" s="185"/>
      <c r="C82" s="185"/>
      <c r="D82" s="185"/>
      <c r="E82" s="185"/>
      <c r="F82" s="1700"/>
      <c r="G82" s="1700"/>
      <c r="H82" s="1700"/>
      <c r="I82" s="185"/>
      <c r="J82" s="185"/>
      <c r="K82" s="185"/>
      <c r="L82" s="185"/>
      <c r="M82" s="185"/>
      <c r="N82" s="185"/>
      <c r="O82" s="185"/>
      <c r="P82" s="185"/>
    </row>
    <row r="83" spans="1:16">
      <c r="A83" s="303"/>
      <c r="B83" s="185"/>
      <c r="C83" s="185"/>
      <c r="D83" s="185"/>
      <c r="E83" s="185"/>
      <c r="F83" s="1700"/>
      <c r="G83" s="1700"/>
      <c r="H83" s="1700"/>
      <c r="I83" s="185"/>
      <c r="J83" s="185"/>
      <c r="K83" s="185"/>
      <c r="L83" s="185"/>
      <c r="M83" s="185"/>
      <c r="N83" s="185"/>
      <c r="O83" s="185"/>
      <c r="P83" s="185"/>
    </row>
    <row r="84" spans="1:16">
      <c r="A84" s="303"/>
      <c r="B84" s="185"/>
      <c r="C84" s="185"/>
      <c r="D84" s="185"/>
      <c r="E84" s="185"/>
      <c r="F84" s="1700"/>
      <c r="G84" s="1700"/>
      <c r="H84" s="1700"/>
      <c r="I84" s="185"/>
      <c r="J84" s="185"/>
      <c r="K84" s="185"/>
      <c r="L84" s="185"/>
      <c r="M84" s="185"/>
      <c r="N84" s="185"/>
      <c r="O84" s="185"/>
      <c r="P84" s="185"/>
    </row>
    <row r="85" spans="1:16">
      <c r="A85" s="303"/>
      <c r="B85" s="185"/>
      <c r="C85" s="185"/>
      <c r="D85" s="185"/>
      <c r="E85" s="185"/>
      <c r="F85" s="1700"/>
      <c r="G85" s="1700"/>
      <c r="H85" s="1700"/>
      <c r="I85" s="185"/>
      <c r="J85" s="185"/>
      <c r="K85" s="185"/>
      <c r="L85" s="185"/>
      <c r="M85" s="185"/>
      <c r="N85" s="185"/>
      <c r="O85" s="185"/>
      <c r="P85" s="185"/>
    </row>
    <row r="86" spans="1:16">
      <c r="A86" s="303"/>
      <c r="B86" s="185"/>
      <c r="C86" s="185"/>
      <c r="D86" s="185"/>
      <c r="E86" s="185"/>
      <c r="F86" s="1700"/>
      <c r="G86" s="1700"/>
      <c r="H86" s="1700"/>
      <c r="I86" s="185"/>
      <c r="J86" s="185"/>
      <c r="K86" s="185"/>
      <c r="L86" s="185"/>
      <c r="M86" s="185"/>
      <c r="N86" s="185"/>
      <c r="O86" s="185"/>
      <c r="P86" s="185"/>
    </row>
    <row r="87" spans="1:16">
      <c r="A87" s="303"/>
      <c r="B87" s="185"/>
      <c r="C87" s="185"/>
      <c r="D87" s="185"/>
      <c r="E87" s="185"/>
      <c r="F87" s="1700"/>
      <c r="G87" s="1700"/>
      <c r="H87" s="1700"/>
      <c r="I87" s="185"/>
      <c r="J87" s="185"/>
      <c r="K87" s="185"/>
      <c r="L87" s="185"/>
      <c r="M87" s="185"/>
      <c r="N87" s="185"/>
      <c r="O87" s="185"/>
      <c r="P87" s="185"/>
    </row>
    <row r="88" spans="1:16">
      <c r="A88" s="303"/>
      <c r="B88" s="185"/>
      <c r="C88" s="185"/>
      <c r="D88" s="185"/>
      <c r="E88" s="185"/>
      <c r="F88" s="1700"/>
      <c r="G88" s="1700"/>
      <c r="H88" s="1700"/>
      <c r="I88" s="185"/>
      <c r="J88" s="185"/>
      <c r="K88" s="185"/>
      <c r="L88" s="185"/>
      <c r="M88" s="185"/>
      <c r="N88" s="185"/>
      <c r="O88" s="185"/>
      <c r="P88" s="185"/>
    </row>
    <row r="89" spans="1:16">
      <c r="A89" s="303"/>
      <c r="B89" s="185"/>
      <c r="C89" s="185"/>
      <c r="D89" s="185"/>
      <c r="E89" s="185"/>
      <c r="F89" s="1700"/>
      <c r="G89" s="1700"/>
      <c r="H89" s="1700"/>
      <c r="I89" s="185"/>
      <c r="J89" s="185"/>
      <c r="K89" s="185"/>
      <c r="L89" s="185"/>
      <c r="M89" s="185"/>
      <c r="N89" s="185"/>
      <c r="O89" s="185"/>
      <c r="P89" s="185"/>
    </row>
    <row r="90" spans="1:16">
      <c r="A90" s="303"/>
      <c r="B90" s="185"/>
      <c r="C90" s="185"/>
      <c r="D90" s="185"/>
      <c r="E90" s="185"/>
      <c r="F90" s="1700"/>
      <c r="G90" s="1700"/>
      <c r="H90" s="1700"/>
      <c r="I90" s="185"/>
      <c r="J90" s="185"/>
      <c r="K90" s="185"/>
      <c r="L90" s="185"/>
      <c r="M90" s="185"/>
      <c r="N90" s="185"/>
      <c r="O90" s="185"/>
      <c r="P90" s="185"/>
    </row>
    <row r="91" spans="1:16">
      <c r="A91" s="303"/>
      <c r="B91" s="185"/>
      <c r="C91" s="185"/>
      <c r="D91" s="185"/>
      <c r="E91" s="185"/>
      <c r="F91" s="1700"/>
      <c r="G91" s="1700"/>
      <c r="H91" s="1700"/>
      <c r="I91" s="185"/>
      <c r="J91" s="185"/>
      <c r="K91" s="185"/>
      <c r="L91" s="185"/>
      <c r="M91" s="185"/>
      <c r="N91" s="185"/>
      <c r="O91" s="185"/>
      <c r="P91" s="185"/>
    </row>
    <row r="92" spans="1:16">
      <c r="A92" s="303"/>
      <c r="B92" s="185"/>
      <c r="C92" s="185"/>
      <c r="D92" s="185"/>
      <c r="E92" s="185"/>
      <c r="F92" s="1700"/>
      <c r="G92" s="1700"/>
      <c r="H92" s="1700"/>
      <c r="I92" s="185"/>
      <c r="J92" s="185"/>
      <c r="K92" s="185"/>
      <c r="L92" s="185"/>
      <c r="M92" s="185"/>
      <c r="N92" s="185"/>
      <c r="O92" s="185"/>
      <c r="P92" s="185"/>
    </row>
    <row r="93" spans="1:16">
      <c r="A93" s="303"/>
      <c r="B93" s="185"/>
      <c r="C93" s="185"/>
      <c r="D93" s="185"/>
      <c r="E93" s="185"/>
      <c r="F93" s="1700"/>
      <c r="G93" s="1700"/>
      <c r="H93" s="1700"/>
      <c r="I93" s="185"/>
      <c r="J93" s="185"/>
      <c r="K93" s="185"/>
      <c r="L93" s="185"/>
      <c r="M93" s="185"/>
      <c r="N93" s="185"/>
      <c r="O93" s="185"/>
      <c r="P93" s="185"/>
    </row>
    <row r="94" spans="1:16">
      <c r="A94" s="303"/>
      <c r="B94" s="185"/>
      <c r="C94" s="185"/>
      <c r="D94" s="185"/>
      <c r="E94" s="185"/>
      <c r="F94" s="1700"/>
      <c r="G94" s="1700"/>
      <c r="H94" s="1700"/>
      <c r="I94" s="185"/>
      <c r="J94" s="185"/>
      <c r="K94" s="185"/>
      <c r="L94" s="185"/>
      <c r="M94" s="185"/>
      <c r="N94" s="185"/>
      <c r="O94" s="185"/>
      <c r="P94" s="185"/>
    </row>
    <row r="95" spans="1:16">
      <c r="A95" s="303"/>
      <c r="B95" s="185"/>
      <c r="C95" s="185"/>
      <c r="D95" s="185"/>
      <c r="E95" s="185"/>
      <c r="F95" s="1700"/>
      <c r="G95" s="1700"/>
      <c r="H95" s="1700"/>
      <c r="I95" s="185"/>
      <c r="J95" s="185"/>
      <c r="K95" s="185"/>
      <c r="L95" s="185"/>
      <c r="M95" s="185"/>
      <c r="N95" s="185"/>
      <c r="O95" s="185"/>
      <c r="P95" s="185"/>
    </row>
    <row r="96" spans="1:16">
      <c r="A96" s="303"/>
      <c r="B96" s="185"/>
      <c r="C96" s="185"/>
      <c r="D96" s="185"/>
      <c r="E96" s="185"/>
      <c r="F96" s="1700"/>
      <c r="G96" s="1700"/>
      <c r="H96" s="1700"/>
      <c r="I96" s="185"/>
      <c r="J96" s="185"/>
      <c r="K96" s="185"/>
      <c r="L96" s="185"/>
      <c r="M96" s="185"/>
      <c r="N96" s="185"/>
      <c r="O96" s="185"/>
      <c r="P96" s="185"/>
    </row>
    <row r="97" spans="1:16">
      <c r="A97" s="303"/>
      <c r="B97" s="185"/>
      <c r="C97" s="185"/>
      <c r="D97" s="185"/>
      <c r="E97" s="185"/>
      <c r="F97" s="1700"/>
      <c r="G97" s="1700"/>
      <c r="H97" s="1700"/>
      <c r="I97" s="185"/>
      <c r="J97" s="185"/>
      <c r="K97" s="185"/>
      <c r="L97" s="185"/>
      <c r="M97" s="185"/>
      <c r="N97" s="185"/>
      <c r="O97" s="185"/>
      <c r="P97" s="185"/>
    </row>
    <row r="98" spans="1:16">
      <c r="A98" s="303"/>
      <c r="B98" s="185"/>
      <c r="C98" s="185"/>
      <c r="D98" s="185"/>
      <c r="E98" s="185"/>
      <c r="F98" s="1700"/>
      <c r="G98" s="1700"/>
      <c r="H98" s="1700"/>
      <c r="I98" s="185"/>
      <c r="J98" s="185"/>
      <c r="K98" s="185"/>
      <c r="L98" s="185"/>
      <c r="M98" s="185"/>
      <c r="N98" s="185"/>
      <c r="O98" s="185"/>
      <c r="P98" s="185"/>
    </row>
    <row r="99" spans="1:16">
      <c r="A99" s="303"/>
      <c r="B99" s="185"/>
      <c r="C99" s="185"/>
      <c r="D99" s="185"/>
      <c r="E99" s="185"/>
      <c r="F99" s="1700"/>
      <c r="G99" s="1700"/>
      <c r="H99" s="1700"/>
      <c r="I99" s="185"/>
      <c r="J99" s="185"/>
      <c r="K99" s="185"/>
      <c r="L99" s="185"/>
      <c r="M99" s="185"/>
      <c r="N99" s="185"/>
      <c r="O99" s="185"/>
      <c r="P99" s="185"/>
    </row>
    <row r="100" spans="1:16">
      <c r="A100" s="303"/>
      <c r="B100" s="185"/>
      <c r="C100" s="185"/>
      <c r="D100" s="185"/>
      <c r="E100" s="185"/>
      <c r="F100" s="1700"/>
      <c r="G100" s="1700"/>
      <c r="H100" s="1700"/>
      <c r="I100" s="185"/>
      <c r="J100" s="185"/>
      <c r="K100" s="185"/>
      <c r="L100" s="185"/>
      <c r="M100" s="185"/>
      <c r="N100" s="185"/>
      <c r="O100" s="185"/>
      <c r="P100" s="185"/>
    </row>
    <row r="101" spans="1:16">
      <c r="A101" s="303"/>
      <c r="B101" s="185"/>
      <c r="C101" s="185"/>
      <c r="D101" s="185"/>
      <c r="E101" s="185"/>
      <c r="F101" s="1700"/>
      <c r="G101" s="1700"/>
      <c r="H101" s="1700"/>
      <c r="I101" s="185"/>
      <c r="J101" s="185"/>
      <c r="K101" s="185"/>
      <c r="L101" s="185"/>
      <c r="M101" s="185"/>
      <c r="N101" s="185"/>
      <c r="O101" s="185"/>
      <c r="P101" s="185"/>
    </row>
    <row r="102" spans="1:16">
      <c r="A102" s="303"/>
      <c r="B102" s="185"/>
      <c r="C102" s="185"/>
      <c r="D102" s="185"/>
      <c r="E102" s="185"/>
      <c r="F102" s="1700"/>
      <c r="G102" s="1700"/>
      <c r="H102" s="1700"/>
      <c r="I102" s="185"/>
      <c r="J102" s="185"/>
      <c r="K102" s="185"/>
      <c r="L102" s="185"/>
      <c r="M102" s="185"/>
      <c r="N102" s="185"/>
      <c r="O102" s="185"/>
      <c r="P102" s="185"/>
    </row>
    <row r="103" spans="1:16">
      <c r="A103" s="303"/>
      <c r="B103" s="185"/>
      <c r="C103" s="185"/>
      <c r="D103" s="185"/>
      <c r="E103" s="185"/>
      <c r="F103" s="1700"/>
      <c r="G103" s="1700"/>
      <c r="H103" s="1700"/>
      <c r="I103" s="185"/>
      <c r="J103" s="185"/>
      <c r="K103" s="185"/>
      <c r="L103" s="185"/>
      <c r="M103" s="185"/>
      <c r="N103" s="185"/>
      <c r="O103" s="185"/>
      <c r="P103" s="185"/>
    </row>
    <row r="104" spans="1:16">
      <c r="A104" s="303"/>
      <c r="B104" s="185"/>
      <c r="C104" s="185"/>
      <c r="D104" s="185"/>
      <c r="E104" s="185"/>
      <c r="F104" s="1700"/>
      <c r="G104" s="1700"/>
      <c r="H104" s="1700"/>
      <c r="I104" s="185"/>
      <c r="J104" s="185"/>
      <c r="K104" s="185"/>
      <c r="L104" s="185"/>
      <c r="M104" s="185"/>
      <c r="N104" s="185"/>
      <c r="O104" s="185"/>
      <c r="P104" s="185"/>
    </row>
    <row r="105" spans="1:16">
      <c r="A105" s="303"/>
      <c r="B105" s="185"/>
      <c r="C105" s="185"/>
      <c r="D105" s="185"/>
      <c r="E105" s="185"/>
      <c r="F105" s="1700"/>
      <c r="G105" s="1700"/>
      <c r="H105" s="1700"/>
      <c r="I105" s="185"/>
      <c r="J105" s="185"/>
      <c r="K105" s="185"/>
      <c r="L105" s="185"/>
      <c r="M105" s="185"/>
      <c r="N105" s="185"/>
      <c r="O105" s="185"/>
      <c r="P105" s="185"/>
    </row>
    <row r="106" spans="1:16">
      <c r="A106" s="303"/>
      <c r="B106" s="185"/>
      <c r="C106" s="185"/>
      <c r="D106" s="185"/>
      <c r="E106" s="185"/>
      <c r="F106" s="1700"/>
      <c r="G106" s="1700"/>
      <c r="H106" s="1700"/>
      <c r="I106" s="185"/>
      <c r="J106" s="185"/>
      <c r="K106" s="185"/>
      <c r="L106" s="185"/>
      <c r="M106" s="185"/>
      <c r="N106" s="185"/>
      <c r="O106" s="185"/>
      <c r="P106" s="185"/>
    </row>
  </sheetData>
  <mergeCells count="6">
    <mergeCell ref="C52:G52"/>
    <mergeCell ref="C2:H2"/>
    <mergeCell ref="C3:H3"/>
    <mergeCell ref="C4:H4"/>
    <mergeCell ref="C5:H5"/>
    <mergeCell ref="C39:E40"/>
  </mergeCells>
  <dataValidations count="1">
    <dataValidation allowBlank="1" showInputMessage="1" showErrorMessage="1" prompt="Please explain the amount entered for Step II in the Notes, Attachment 20." sqref="G31"/>
  </dataValidations>
  <pageMargins left="0.5" right="0.5" top="0.75" bottom="1" header="0.5" footer="0.5"/>
  <pageSetup scale="62" orientation="portrait" blackAndWhite="1" r:id="rId1"/>
  <headerFooter alignWithMargins="0"/>
  <legacyDrawing r:id="rId2"/>
</worksheet>
</file>

<file path=xl/worksheets/sheet35.xml><?xml version="1.0" encoding="utf-8"?>
<worksheet xmlns="http://schemas.openxmlformats.org/spreadsheetml/2006/main" xmlns:r="http://schemas.openxmlformats.org/officeDocument/2006/relationships">
  <sheetPr codeName="Sheet26">
    <pageSetUpPr fitToPage="1"/>
  </sheetPr>
  <dimension ref="A1:N56"/>
  <sheetViews>
    <sheetView showGridLines="0" zoomScale="85" zoomScaleNormal="85" workbookViewId="0">
      <selection activeCell="N67" sqref="N67"/>
    </sheetView>
  </sheetViews>
  <sheetFormatPr defaultRowHeight="12.75"/>
  <cols>
    <col min="1" max="2" width="4.28515625" style="28" customWidth="1"/>
    <col min="3" max="3" width="12.7109375" style="28" customWidth="1"/>
    <col min="4" max="4" width="14.28515625" style="28" customWidth="1"/>
    <col min="5" max="6" width="13.28515625" style="28" customWidth="1"/>
    <col min="7" max="7" width="13.7109375" style="28" customWidth="1"/>
    <col min="8" max="8" width="13.140625" style="28" customWidth="1"/>
    <col min="9" max="9" width="14" style="28" customWidth="1"/>
    <col min="10" max="10" width="13.28515625" style="28" customWidth="1"/>
    <col min="11" max="11" width="13.7109375" style="28" customWidth="1"/>
    <col min="12" max="12" width="14.140625" style="28" customWidth="1"/>
    <col min="13" max="13" width="3.7109375" style="28" customWidth="1"/>
    <col min="14" max="14" width="9.28515625" style="28" customWidth="1"/>
    <col min="15" max="16384" width="9.140625" style="28"/>
  </cols>
  <sheetData>
    <row r="1" spans="1:14" s="91" customFormat="1">
      <c r="A1" s="659"/>
      <c r="B1" s="659"/>
      <c r="C1" s="1475" t="str">
        <f>TestYear &amp; " Test Year"</f>
        <v>2015 Test Year</v>
      </c>
      <c r="D1" s="665"/>
      <c r="E1" s="665"/>
      <c r="F1" s="665"/>
      <c r="G1" s="665"/>
      <c r="H1" s="665"/>
      <c r="I1" s="665"/>
      <c r="J1" s="665"/>
      <c r="K1" s="665"/>
      <c r="L1" s="666" t="s">
        <v>850</v>
      </c>
      <c r="M1" s="659"/>
      <c r="N1" s="185"/>
    </row>
    <row r="2" spans="1:14" s="91" customFormat="1">
      <c r="A2" s="659"/>
      <c r="B2" s="659"/>
      <c r="C2" s="2150">
        <f>TestYear</f>
        <v>2015</v>
      </c>
      <c r="D2" s="1978"/>
      <c r="E2" s="1978"/>
      <c r="F2" s="1978"/>
      <c r="G2" s="1978"/>
      <c r="H2" s="1978"/>
      <c r="I2" s="1978"/>
      <c r="J2" s="1978"/>
      <c r="K2" s="2151"/>
      <c r="L2" s="2151"/>
      <c r="M2" s="186"/>
      <c r="N2" s="185"/>
    </row>
    <row r="3" spans="1:14" s="91" customFormat="1">
      <c r="A3" s="659"/>
      <c r="B3" s="659"/>
      <c r="C3" s="1974" t="s">
        <v>851</v>
      </c>
      <c r="D3" s="1968"/>
      <c r="E3" s="1968"/>
      <c r="F3" s="1968"/>
      <c r="G3" s="1968"/>
      <c r="H3" s="1968"/>
      <c r="I3" s="1968"/>
      <c r="J3" s="1968"/>
      <c r="K3" s="1968"/>
      <c r="L3" s="1968"/>
      <c r="M3" s="185"/>
      <c r="N3" s="185"/>
    </row>
    <row r="4" spans="1:14" s="91" customFormat="1">
      <c r="A4" s="659"/>
      <c r="B4" s="659"/>
      <c r="C4" s="1979" t="s">
        <v>813</v>
      </c>
      <c r="D4" s="1968"/>
      <c r="E4" s="1968"/>
      <c r="F4" s="1968"/>
      <c r="G4" s="1968"/>
      <c r="H4" s="1968"/>
      <c r="I4" s="1968"/>
      <c r="J4" s="1968"/>
      <c r="K4" s="1968"/>
      <c r="L4" s="1968"/>
      <c r="M4" s="185"/>
      <c r="N4" s="185"/>
    </row>
    <row r="5" spans="1:14" s="91" customFormat="1">
      <c r="A5" s="659"/>
      <c r="B5" s="659"/>
      <c r="C5" s="2152" t="str">
        <f>CONCATENATE("Test Year ",TestYear)</f>
        <v>Test Year 2015</v>
      </c>
      <c r="D5" s="1980"/>
      <c r="E5" s="1980"/>
      <c r="F5" s="1980"/>
      <c r="G5" s="1980"/>
      <c r="H5" s="1980"/>
      <c r="I5" s="1980"/>
      <c r="J5" s="1980"/>
      <c r="K5" s="1968"/>
      <c r="L5" s="1968"/>
      <c r="M5" s="185"/>
      <c r="N5" s="185"/>
    </row>
    <row r="6" spans="1:14" s="91" customFormat="1" ht="13.5" thickBot="1">
      <c r="A6" s="659"/>
      <c r="B6" s="659"/>
      <c r="C6" s="2149" t="s">
        <v>816</v>
      </c>
      <c r="D6" s="2148"/>
      <c r="E6" s="2148"/>
      <c r="F6" s="2148"/>
      <c r="G6" s="2148"/>
      <c r="H6" s="2148"/>
      <c r="I6" s="1968"/>
      <c r="J6" s="1968"/>
      <c r="K6" s="1968"/>
      <c r="L6" s="1968"/>
      <c r="M6" s="185"/>
      <c r="N6" s="185"/>
    </row>
    <row r="7" spans="1:14" ht="13.5" thickTop="1">
      <c r="A7" s="659"/>
      <c r="B7" s="1758"/>
      <c r="C7" s="691"/>
      <c r="D7" s="728"/>
      <c r="E7" s="728"/>
      <c r="F7" s="728"/>
      <c r="G7" s="728"/>
      <c r="H7" s="728"/>
      <c r="I7" s="728"/>
      <c r="J7" s="728"/>
      <c r="K7" s="691"/>
      <c r="L7" s="498"/>
      <c r="M7" s="500"/>
      <c r="N7" s="460"/>
    </row>
    <row r="8" spans="1:14">
      <c r="A8" s="659"/>
      <c r="B8" s="1759"/>
      <c r="C8" s="2153" t="s">
        <v>852</v>
      </c>
      <c r="D8" s="2154"/>
      <c r="E8" s="2154"/>
      <c r="F8" s="2154"/>
      <c r="G8" s="2154"/>
      <c r="H8" s="2154"/>
      <c r="I8" s="2155"/>
      <c r="J8" s="2156"/>
      <c r="K8" s="2156"/>
      <c r="L8" s="2156"/>
      <c r="M8" s="501"/>
      <c r="N8" s="460"/>
    </row>
    <row r="9" spans="1:14" ht="13.5" thickBot="1">
      <c r="A9" s="659"/>
      <c r="B9" s="1759"/>
      <c r="C9" s="1626"/>
      <c r="D9" s="1626"/>
      <c r="E9" s="1626"/>
      <c r="F9" s="1626"/>
      <c r="G9" s="1626"/>
      <c r="H9" s="1626"/>
      <c r="I9" s="1626"/>
      <c r="J9" s="1626"/>
      <c r="K9" s="1626"/>
      <c r="L9" s="1626"/>
      <c r="M9" s="501"/>
      <c r="N9" s="460"/>
    </row>
    <row r="10" spans="1:14">
      <c r="A10" s="659"/>
      <c r="B10" s="1759"/>
      <c r="C10" s="2129" t="s">
        <v>853</v>
      </c>
      <c r="D10" s="1908"/>
      <c r="E10" s="1908"/>
      <c r="F10" s="1908"/>
      <c r="G10" s="1908"/>
      <c r="H10" s="1908"/>
      <c r="I10" s="1908"/>
      <c r="J10" s="1908"/>
      <c r="K10" s="1908"/>
      <c r="L10" s="1908"/>
      <c r="M10" s="501"/>
      <c r="N10" s="460"/>
    </row>
    <row r="11" spans="1:14">
      <c r="A11" s="659"/>
      <c r="B11" s="1759"/>
      <c r="C11" s="2157"/>
      <c r="D11" s="2158"/>
      <c r="E11" s="2158"/>
      <c r="F11" s="2158"/>
      <c r="G11" s="2158"/>
      <c r="H11" s="2158"/>
      <c r="I11" s="2158"/>
      <c r="J11" s="2158"/>
      <c r="K11" s="2158"/>
      <c r="L11" s="2159"/>
      <c r="M11" s="501"/>
      <c r="N11" s="460"/>
    </row>
    <row r="12" spans="1:14">
      <c r="A12" s="659"/>
      <c r="B12" s="1759"/>
      <c r="C12" s="2160"/>
      <c r="D12" s="2161"/>
      <c r="E12" s="2161"/>
      <c r="F12" s="2161"/>
      <c r="G12" s="2161"/>
      <c r="H12" s="2161"/>
      <c r="I12" s="2161"/>
      <c r="J12" s="2161"/>
      <c r="K12" s="2161"/>
      <c r="L12" s="2162"/>
      <c r="M12" s="501"/>
      <c r="N12" s="460"/>
    </row>
    <row r="13" spans="1:14">
      <c r="A13" s="659"/>
      <c r="B13" s="1759"/>
      <c r="C13" s="2160"/>
      <c r="D13" s="2161"/>
      <c r="E13" s="2161"/>
      <c r="F13" s="2161"/>
      <c r="G13" s="2161"/>
      <c r="H13" s="2161"/>
      <c r="I13" s="2161"/>
      <c r="J13" s="2161"/>
      <c r="K13" s="2161"/>
      <c r="L13" s="2162"/>
      <c r="M13" s="501"/>
      <c r="N13" s="460"/>
    </row>
    <row r="14" spans="1:14">
      <c r="A14" s="659"/>
      <c r="B14" s="1759"/>
      <c r="C14" s="2160"/>
      <c r="D14" s="2161"/>
      <c r="E14" s="2161"/>
      <c r="F14" s="2161"/>
      <c r="G14" s="2161"/>
      <c r="H14" s="2161"/>
      <c r="I14" s="2161"/>
      <c r="J14" s="2161"/>
      <c r="K14" s="2161"/>
      <c r="L14" s="2162"/>
      <c r="M14" s="501"/>
      <c r="N14" s="460"/>
    </row>
    <row r="15" spans="1:14">
      <c r="A15" s="659"/>
      <c r="B15" s="1759"/>
      <c r="C15" s="2160"/>
      <c r="D15" s="2161"/>
      <c r="E15" s="2161"/>
      <c r="F15" s="2161"/>
      <c r="G15" s="2161"/>
      <c r="H15" s="2161"/>
      <c r="I15" s="2161"/>
      <c r="J15" s="2161"/>
      <c r="K15" s="2161"/>
      <c r="L15" s="2162"/>
      <c r="M15" s="501"/>
      <c r="N15" s="460"/>
    </row>
    <row r="16" spans="1:14">
      <c r="A16" s="659"/>
      <c r="B16" s="1759"/>
      <c r="C16" s="2163"/>
      <c r="D16" s="2164"/>
      <c r="E16" s="2164"/>
      <c r="F16" s="2164"/>
      <c r="G16" s="2164"/>
      <c r="H16" s="2164"/>
      <c r="I16" s="2164"/>
      <c r="J16" s="2164"/>
      <c r="K16" s="2164"/>
      <c r="L16" s="2165"/>
      <c r="M16" s="501"/>
      <c r="N16" s="460"/>
    </row>
    <row r="17" spans="1:14" ht="13.5" thickBot="1">
      <c r="A17" s="659"/>
      <c r="B17" s="1759"/>
      <c r="C17" s="1626"/>
      <c r="D17" s="1626"/>
      <c r="E17" s="1626"/>
      <c r="F17" s="1626"/>
      <c r="G17" s="1626"/>
      <c r="H17" s="1626"/>
      <c r="I17" s="1626"/>
      <c r="J17" s="1626"/>
      <c r="K17" s="1626"/>
      <c r="L17" s="1626"/>
      <c r="M17" s="501"/>
      <c r="N17" s="460"/>
    </row>
    <row r="18" spans="1:14">
      <c r="A18" s="659"/>
      <c r="B18" s="1759"/>
      <c r="C18" s="2129" t="s">
        <v>854</v>
      </c>
      <c r="D18" s="1908"/>
      <c r="E18" s="1908"/>
      <c r="F18" s="1908"/>
      <c r="G18" s="1908"/>
      <c r="H18" s="1908"/>
      <c r="I18" s="1908"/>
      <c r="J18" s="1908"/>
      <c r="K18" s="1908"/>
      <c r="L18" s="1908"/>
      <c r="M18" s="501"/>
      <c r="N18" s="460"/>
    </row>
    <row r="19" spans="1:14">
      <c r="A19" s="659"/>
      <c r="B19" s="1759"/>
      <c r="C19" s="2166"/>
      <c r="D19" s="2158"/>
      <c r="E19" s="2158"/>
      <c r="F19" s="2158"/>
      <c r="G19" s="2158"/>
      <c r="H19" s="2158"/>
      <c r="I19" s="2158"/>
      <c r="J19" s="2158"/>
      <c r="K19" s="2158"/>
      <c r="L19" s="2159"/>
      <c r="M19" s="501"/>
      <c r="N19" s="460"/>
    </row>
    <row r="20" spans="1:14">
      <c r="A20" s="659"/>
      <c r="B20" s="1759"/>
      <c r="C20" s="2160"/>
      <c r="D20" s="2161"/>
      <c r="E20" s="2161"/>
      <c r="F20" s="2161"/>
      <c r="G20" s="2161"/>
      <c r="H20" s="2161"/>
      <c r="I20" s="2161"/>
      <c r="J20" s="2161"/>
      <c r="K20" s="2161"/>
      <c r="L20" s="2162"/>
      <c r="M20" s="501"/>
      <c r="N20" s="460"/>
    </row>
    <row r="21" spans="1:14">
      <c r="A21" s="659"/>
      <c r="B21" s="1759"/>
      <c r="C21" s="2160"/>
      <c r="D21" s="2161"/>
      <c r="E21" s="2161"/>
      <c r="F21" s="2161"/>
      <c r="G21" s="2161"/>
      <c r="H21" s="2161"/>
      <c r="I21" s="2161"/>
      <c r="J21" s="2161"/>
      <c r="K21" s="2161"/>
      <c r="L21" s="2162"/>
      <c r="M21" s="501"/>
      <c r="N21" s="460"/>
    </row>
    <row r="22" spans="1:14">
      <c r="A22" s="659"/>
      <c r="B22" s="1759"/>
      <c r="C22" s="2160"/>
      <c r="D22" s="2161"/>
      <c r="E22" s="2161"/>
      <c r="F22" s="2161"/>
      <c r="G22" s="2161"/>
      <c r="H22" s="2161"/>
      <c r="I22" s="2161"/>
      <c r="J22" s="2161"/>
      <c r="K22" s="2161"/>
      <c r="L22" s="2162"/>
      <c r="M22" s="501"/>
      <c r="N22" s="460"/>
    </row>
    <row r="23" spans="1:14">
      <c r="A23" s="659"/>
      <c r="B23" s="1759"/>
      <c r="C23" s="2160"/>
      <c r="D23" s="2161"/>
      <c r="E23" s="2161"/>
      <c r="F23" s="2161"/>
      <c r="G23" s="2161"/>
      <c r="H23" s="2161"/>
      <c r="I23" s="2161"/>
      <c r="J23" s="2161"/>
      <c r="K23" s="2161"/>
      <c r="L23" s="2162"/>
      <c r="M23" s="501"/>
      <c r="N23" s="460"/>
    </row>
    <row r="24" spans="1:14">
      <c r="A24" s="659"/>
      <c r="B24" s="1759"/>
      <c r="C24" s="2160"/>
      <c r="D24" s="2161"/>
      <c r="E24" s="2161"/>
      <c r="F24" s="2161"/>
      <c r="G24" s="2161"/>
      <c r="H24" s="2161"/>
      <c r="I24" s="2161"/>
      <c r="J24" s="2161"/>
      <c r="K24" s="2161"/>
      <c r="L24" s="2162"/>
      <c r="M24" s="501"/>
      <c r="N24" s="460"/>
    </row>
    <row r="25" spans="1:14">
      <c r="A25" s="659"/>
      <c r="B25" s="1759"/>
      <c r="C25" s="2160"/>
      <c r="D25" s="2161"/>
      <c r="E25" s="2161"/>
      <c r="F25" s="2161"/>
      <c r="G25" s="2161"/>
      <c r="H25" s="2161"/>
      <c r="I25" s="2161"/>
      <c r="J25" s="2161"/>
      <c r="K25" s="2161"/>
      <c r="L25" s="2162"/>
      <c r="M25" s="501"/>
      <c r="N25" s="460"/>
    </row>
    <row r="26" spans="1:14">
      <c r="A26" s="659"/>
      <c r="B26" s="1759"/>
      <c r="C26" s="2160"/>
      <c r="D26" s="2161"/>
      <c r="E26" s="2161"/>
      <c r="F26" s="2161"/>
      <c r="G26" s="2161"/>
      <c r="H26" s="2161"/>
      <c r="I26" s="2161"/>
      <c r="J26" s="2161"/>
      <c r="K26" s="2161"/>
      <c r="L26" s="2162"/>
      <c r="M26" s="501"/>
      <c r="N26" s="460"/>
    </row>
    <row r="27" spans="1:14">
      <c r="A27" s="659"/>
      <c r="B27" s="1759"/>
      <c r="C27" s="2160"/>
      <c r="D27" s="2161"/>
      <c r="E27" s="2161"/>
      <c r="F27" s="2161"/>
      <c r="G27" s="2161"/>
      <c r="H27" s="2161"/>
      <c r="I27" s="2161"/>
      <c r="J27" s="2161"/>
      <c r="K27" s="2161"/>
      <c r="L27" s="2162"/>
      <c r="M27" s="501"/>
      <c r="N27" s="460"/>
    </row>
    <row r="28" spans="1:14">
      <c r="A28" s="659"/>
      <c r="B28" s="1759"/>
      <c r="C28" s="2160"/>
      <c r="D28" s="2161"/>
      <c r="E28" s="2161"/>
      <c r="F28" s="2161"/>
      <c r="G28" s="2161"/>
      <c r="H28" s="2161"/>
      <c r="I28" s="2161"/>
      <c r="J28" s="2161"/>
      <c r="K28" s="2161"/>
      <c r="L28" s="2162"/>
      <c r="M28" s="501"/>
      <c r="N28" s="460"/>
    </row>
    <row r="29" spans="1:14">
      <c r="A29" s="659"/>
      <c r="B29" s="1759"/>
      <c r="C29" s="2160"/>
      <c r="D29" s="2161"/>
      <c r="E29" s="2161"/>
      <c r="F29" s="2161"/>
      <c r="G29" s="2161"/>
      <c r="H29" s="2161"/>
      <c r="I29" s="2161"/>
      <c r="J29" s="2161"/>
      <c r="K29" s="2161"/>
      <c r="L29" s="2162"/>
      <c r="M29" s="501"/>
      <c r="N29" s="460"/>
    </row>
    <row r="30" spans="1:14">
      <c r="A30" s="659"/>
      <c r="B30" s="1759"/>
      <c r="C30" s="2160"/>
      <c r="D30" s="2161"/>
      <c r="E30" s="2161"/>
      <c r="F30" s="2161"/>
      <c r="G30" s="2161"/>
      <c r="H30" s="2161"/>
      <c r="I30" s="2161"/>
      <c r="J30" s="2161"/>
      <c r="K30" s="2161"/>
      <c r="L30" s="2162"/>
      <c r="M30" s="501"/>
      <c r="N30" s="460"/>
    </row>
    <row r="31" spans="1:14">
      <c r="A31" s="659"/>
      <c r="B31" s="1759"/>
      <c r="C31" s="2160"/>
      <c r="D31" s="2161"/>
      <c r="E31" s="2161"/>
      <c r="F31" s="2161"/>
      <c r="G31" s="2161"/>
      <c r="H31" s="2161"/>
      <c r="I31" s="2161"/>
      <c r="J31" s="2161"/>
      <c r="K31" s="2161"/>
      <c r="L31" s="2162"/>
      <c r="M31" s="501"/>
      <c r="N31" s="460"/>
    </row>
    <row r="32" spans="1:14">
      <c r="A32" s="659"/>
      <c r="B32" s="1759"/>
      <c r="C32" s="2160"/>
      <c r="D32" s="2161"/>
      <c r="E32" s="2161"/>
      <c r="F32" s="2161"/>
      <c r="G32" s="2161"/>
      <c r="H32" s="2161"/>
      <c r="I32" s="2161"/>
      <c r="J32" s="2161"/>
      <c r="K32" s="2161"/>
      <c r="L32" s="2162"/>
      <c r="M32" s="501"/>
      <c r="N32" s="460"/>
    </row>
    <row r="33" spans="1:14">
      <c r="A33" s="659"/>
      <c r="B33" s="1759"/>
      <c r="C33" s="2160"/>
      <c r="D33" s="2161"/>
      <c r="E33" s="2161"/>
      <c r="F33" s="2161"/>
      <c r="G33" s="2161"/>
      <c r="H33" s="2161"/>
      <c r="I33" s="2161"/>
      <c r="J33" s="2161"/>
      <c r="K33" s="2161"/>
      <c r="L33" s="2162"/>
      <c r="M33" s="501"/>
      <c r="N33" s="460"/>
    </row>
    <row r="34" spans="1:14">
      <c r="A34" s="659"/>
      <c r="B34" s="1759"/>
      <c r="C34" s="2160"/>
      <c r="D34" s="2161"/>
      <c r="E34" s="2161"/>
      <c r="F34" s="2161"/>
      <c r="G34" s="2161"/>
      <c r="H34" s="2161"/>
      <c r="I34" s="2161"/>
      <c r="J34" s="2161"/>
      <c r="K34" s="2161"/>
      <c r="L34" s="2162"/>
      <c r="M34" s="501"/>
      <c r="N34" s="460"/>
    </row>
    <row r="35" spans="1:14">
      <c r="A35" s="659"/>
      <c r="B35" s="1759"/>
      <c r="C35" s="2160"/>
      <c r="D35" s="2161"/>
      <c r="E35" s="2161"/>
      <c r="F35" s="2161"/>
      <c r="G35" s="2161"/>
      <c r="H35" s="2161"/>
      <c r="I35" s="2161"/>
      <c r="J35" s="2161"/>
      <c r="K35" s="2161"/>
      <c r="L35" s="2162"/>
      <c r="M35" s="501"/>
      <c r="N35" s="460"/>
    </row>
    <row r="36" spans="1:14">
      <c r="A36" s="659"/>
      <c r="B36" s="1759"/>
      <c r="C36" s="2160"/>
      <c r="D36" s="2161"/>
      <c r="E36" s="2161"/>
      <c r="F36" s="2161"/>
      <c r="G36" s="2161"/>
      <c r="H36" s="2161"/>
      <c r="I36" s="2161"/>
      <c r="J36" s="2161"/>
      <c r="K36" s="2161"/>
      <c r="L36" s="2162"/>
      <c r="M36" s="501"/>
      <c r="N36" s="460"/>
    </row>
    <row r="37" spans="1:14">
      <c r="A37" s="659"/>
      <c r="B37" s="1759"/>
      <c r="C37" s="2160"/>
      <c r="D37" s="2161"/>
      <c r="E37" s="2161"/>
      <c r="F37" s="2161"/>
      <c r="G37" s="2161"/>
      <c r="H37" s="2161"/>
      <c r="I37" s="2161"/>
      <c r="J37" s="2161"/>
      <c r="K37" s="2161"/>
      <c r="L37" s="2162"/>
      <c r="M37" s="501"/>
      <c r="N37" s="460"/>
    </row>
    <row r="38" spans="1:14">
      <c r="A38" s="659"/>
      <c r="B38" s="1759"/>
      <c r="C38" s="2160"/>
      <c r="D38" s="2161"/>
      <c r="E38" s="2161"/>
      <c r="F38" s="2161"/>
      <c r="G38" s="2161"/>
      <c r="H38" s="2161"/>
      <c r="I38" s="2161"/>
      <c r="J38" s="2161"/>
      <c r="K38" s="2161"/>
      <c r="L38" s="2162"/>
      <c r="M38" s="501"/>
      <c r="N38" s="460"/>
    </row>
    <row r="39" spans="1:14">
      <c r="A39" s="659"/>
      <c r="B39" s="1759"/>
      <c r="C39" s="2163"/>
      <c r="D39" s="2164"/>
      <c r="E39" s="2164"/>
      <c r="F39" s="2164"/>
      <c r="G39" s="2164"/>
      <c r="H39" s="2164"/>
      <c r="I39" s="2164"/>
      <c r="J39" s="2164"/>
      <c r="K39" s="2164"/>
      <c r="L39" s="2165"/>
      <c r="M39" s="501"/>
      <c r="N39" s="460"/>
    </row>
    <row r="40" spans="1:14">
      <c r="A40" s="659"/>
      <c r="B40" s="1759"/>
      <c r="C40" s="514"/>
      <c r="D40" s="514"/>
      <c r="E40" s="514"/>
      <c r="F40" s="514"/>
      <c r="G40" s="514"/>
      <c r="H40" s="514"/>
      <c r="I40" s="514"/>
      <c r="J40" s="514"/>
      <c r="K40" s="514"/>
      <c r="L40" s="514"/>
      <c r="M40" s="501"/>
      <c r="N40" s="460"/>
    </row>
    <row r="41" spans="1:14">
      <c r="A41" s="659"/>
      <c r="B41" s="1759"/>
      <c r="C41" s="514"/>
      <c r="D41" s="514"/>
      <c r="E41" s="514"/>
      <c r="F41" s="514"/>
      <c r="G41" s="514"/>
      <c r="H41" s="514"/>
      <c r="I41" s="514"/>
      <c r="J41" s="514"/>
      <c r="K41" s="514"/>
      <c r="L41" s="514"/>
      <c r="M41" s="501"/>
      <c r="N41" s="460"/>
    </row>
    <row r="42" spans="1:14">
      <c r="A42" s="659"/>
      <c r="B42" s="1759"/>
      <c r="C42" s="514"/>
      <c r="D42" s="514"/>
      <c r="E42" s="514"/>
      <c r="F42" s="514"/>
      <c r="G42" s="514"/>
      <c r="H42" s="514"/>
      <c r="I42" s="514"/>
      <c r="J42" s="514"/>
      <c r="K42" s="514"/>
      <c r="L42" s="514"/>
      <c r="M42" s="501"/>
      <c r="N42" s="460"/>
    </row>
    <row r="43" spans="1:14">
      <c r="A43" s="659"/>
      <c r="B43" s="1759"/>
      <c r="C43" s="514"/>
      <c r="D43" s="514"/>
      <c r="E43" s="514"/>
      <c r="F43" s="514"/>
      <c r="G43" s="514"/>
      <c r="H43" s="514"/>
      <c r="I43" s="514"/>
      <c r="J43" s="514"/>
      <c r="K43" s="514"/>
      <c r="L43" s="514"/>
      <c r="M43" s="501"/>
      <c r="N43" s="460"/>
    </row>
    <row r="44" spans="1:14">
      <c r="A44" s="659"/>
      <c r="B44" s="1759"/>
      <c r="C44" s="514"/>
      <c r="D44" s="514"/>
      <c r="E44" s="514"/>
      <c r="F44" s="514"/>
      <c r="G44" s="514"/>
      <c r="H44" s="514"/>
      <c r="I44" s="514"/>
      <c r="J44" s="514"/>
      <c r="K44" s="514"/>
      <c r="L44" s="514"/>
      <c r="M44" s="501"/>
      <c r="N44" s="460"/>
    </row>
    <row r="45" spans="1:14" ht="13.5" thickBot="1">
      <c r="A45" s="659"/>
      <c r="B45" s="1760"/>
      <c r="C45" s="551"/>
      <c r="D45" s="551"/>
      <c r="E45" s="551"/>
      <c r="F45" s="551"/>
      <c r="G45" s="551"/>
      <c r="H45" s="551"/>
      <c r="I45" s="551"/>
      <c r="J45" s="551"/>
      <c r="K45" s="551"/>
      <c r="L45" s="551"/>
      <c r="M45" s="508"/>
      <c r="N45" s="460"/>
    </row>
    <row r="46" spans="1:14" ht="13.5" thickTop="1">
      <c r="A46" s="659"/>
      <c r="B46" s="659"/>
      <c r="C46" s="460"/>
      <c r="D46" s="460"/>
      <c r="E46" s="460"/>
      <c r="F46" s="460"/>
      <c r="G46" s="460"/>
      <c r="H46" s="460"/>
      <c r="I46" s="460"/>
      <c r="J46" s="460"/>
      <c r="K46" s="460"/>
      <c r="L46" s="460"/>
      <c r="M46" s="460"/>
      <c r="N46" s="460"/>
    </row>
    <row r="47" spans="1:14">
      <c r="A47" s="659"/>
      <c r="B47" s="659"/>
      <c r="C47" s="460"/>
      <c r="D47" s="460"/>
      <c r="E47" s="460"/>
      <c r="F47" s="460"/>
      <c r="G47" s="460"/>
      <c r="H47" s="460"/>
      <c r="I47" s="460"/>
      <c r="J47" s="460"/>
      <c r="K47" s="460"/>
      <c r="L47" s="460"/>
      <c r="M47" s="460"/>
      <c r="N47" s="460"/>
    </row>
    <row r="48" spans="1:14">
      <c r="A48" s="659"/>
      <c r="B48" s="659"/>
      <c r="C48" s="460"/>
      <c r="D48" s="460"/>
      <c r="E48" s="460"/>
      <c r="F48" s="460"/>
      <c r="G48" s="460"/>
      <c r="H48" s="460"/>
      <c r="I48" s="460"/>
      <c r="J48" s="460"/>
      <c r="K48" s="460"/>
      <c r="L48" s="460"/>
      <c r="M48" s="460"/>
      <c r="N48" s="460"/>
    </row>
    <row r="49" spans="1:14">
      <c r="A49" s="659"/>
      <c r="B49" s="659"/>
      <c r="C49" s="460"/>
      <c r="D49" s="460"/>
      <c r="E49" s="460"/>
      <c r="F49" s="460"/>
      <c r="G49" s="460"/>
      <c r="H49" s="460"/>
      <c r="I49" s="460"/>
      <c r="J49" s="460"/>
      <c r="K49" s="460"/>
      <c r="L49" s="460"/>
      <c r="M49" s="460"/>
      <c r="N49" s="460"/>
    </row>
    <row r="50" spans="1:14">
      <c r="A50" s="659"/>
      <c r="B50" s="659"/>
      <c r="C50" s="460"/>
      <c r="D50" s="460"/>
      <c r="E50" s="460"/>
      <c r="F50" s="460"/>
      <c r="G50" s="460"/>
      <c r="H50" s="460"/>
      <c r="I50" s="460"/>
      <c r="J50" s="460"/>
      <c r="K50" s="460"/>
      <c r="L50" s="460"/>
      <c r="M50" s="460"/>
      <c r="N50" s="460"/>
    </row>
    <row r="51" spans="1:14">
      <c r="A51" s="659"/>
      <c r="B51" s="659"/>
      <c r="C51" s="659"/>
      <c r="D51" s="659"/>
      <c r="E51" s="659"/>
      <c r="F51" s="659"/>
      <c r="G51" s="659"/>
      <c r="H51" s="659"/>
      <c r="I51" s="659"/>
      <c r="J51" s="659"/>
      <c r="K51" s="659"/>
      <c r="L51" s="659"/>
      <c r="M51" s="460"/>
      <c r="N51" s="460"/>
    </row>
    <row r="52" spans="1:14">
      <c r="A52" s="460"/>
      <c r="B52" s="460"/>
      <c r="C52" s="460"/>
      <c r="D52" s="460"/>
      <c r="E52" s="460"/>
      <c r="F52" s="460"/>
      <c r="G52" s="460"/>
      <c r="H52" s="460"/>
      <c r="I52" s="460"/>
      <c r="J52" s="460"/>
      <c r="K52" s="460"/>
      <c r="L52" s="460"/>
      <c r="M52" s="460"/>
      <c r="N52" s="460"/>
    </row>
    <row r="53" spans="1:14">
      <c r="A53" s="460"/>
      <c r="B53" s="460"/>
      <c r="C53" s="460"/>
      <c r="D53" s="460"/>
      <c r="E53" s="460"/>
      <c r="F53" s="460"/>
      <c r="G53" s="460"/>
      <c r="H53" s="460"/>
      <c r="I53" s="460"/>
      <c r="J53" s="460"/>
      <c r="K53" s="460"/>
      <c r="L53" s="460"/>
      <c r="M53" s="460"/>
      <c r="N53" s="460"/>
    </row>
    <row r="54" spans="1:14">
      <c r="A54" s="460"/>
      <c r="B54" s="460"/>
      <c r="C54" s="460"/>
      <c r="D54" s="460"/>
      <c r="E54" s="460"/>
      <c r="F54" s="460"/>
      <c r="G54" s="460"/>
      <c r="H54" s="460"/>
      <c r="I54" s="460"/>
      <c r="J54" s="460"/>
      <c r="K54" s="460"/>
      <c r="L54" s="460"/>
      <c r="M54" s="460"/>
      <c r="N54" s="460"/>
    </row>
    <row r="55" spans="1:14">
      <c r="A55" s="460"/>
      <c r="B55" s="460"/>
      <c r="C55" s="460"/>
      <c r="D55" s="460"/>
      <c r="E55" s="460"/>
      <c r="F55" s="460"/>
      <c r="G55" s="460"/>
      <c r="H55" s="460"/>
      <c r="I55" s="460"/>
      <c r="J55" s="460"/>
      <c r="K55" s="460"/>
      <c r="L55" s="460"/>
      <c r="M55" s="460"/>
      <c r="N55" s="460"/>
    </row>
    <row r="56" spans="1:14">
      <c r="A56" s="460"/>
      <c r="B56" s="460"/>
      <c r="C56" s="460"/>
      <c r="D56" s="460"/>
      <c r="E56" s="460"/>
      <c r="F56" s="460"/>
      <c r="G56" s="460"/>
      <c r="H56" s="460"/>
      <c r="I56" s="460"/>
      <c r="J56" s="460"/>
      <c r="K56" s="460"/>
      <c r="L56" s="460"/>
      <c r="M56" s="460"/>
      <c r="N56" s="460"/>
    </row>
  </sheetData>
  <mergeCells count="11">
    <mergeCell ref="C10:L10"/>
    <mergeCell ref="C11:L16"/>
    <mergeCell ref="C18:L18"/>
    <mergeCell ref="C19:L39"/>
    <mergeCell ref="C2:L2"/>
    <mergeCell ref="C3:L3"/>
    <mergeCell ref="C4:L4"/>
    <mergeCell ref="C5:L5"/>
    <mergeCell ref="C6:L6"/>
    <mergeCell ref="C8:H8"/>
    <mergeCell ref="I8:L8"/>
  </mergeCells>
  <pageMargins left="0.75" right="0.75" top="1" bottom="1" header="0.5" footer="0.5"/>
  <pageSetup scale="77" orientation="landscape" blackAndWhite="1" r:id="rId1"/>
  <headerFooter alignWithMargins="0"/>
  <legacyDrawing r:id="rId2"/>
</worksheet>
</file>

<file path=xl/worksheets/sheet36.xml><?xml version="1.0" encoding="utf-8"?>
<worksheet xmlns="http://schemas.openxmlformats.org/spreadsheetml/2006/main" xmlns:r="http://schemas.openxmlformats.org/officeDocument/2006/relationships">
  <sheetPr codeName="Sheet24">
    <pageSetUpPr fitToPage="1"/>
  </sheetPr>
  <dimension ref="B1:K41"/>
  <sheetViews>
    <sheetView showGridLines="0" topLeftCell="A10" zoomScale="80" zoomScaleNormal="80" workbookViewId="0">
      <selection activeCell="N67" sqref="N67"/>
    </sheetView>
  </sheetViews>
  <sheetFormatPr defaultRowHeight="12.75"/>
  <cols>
    <col min="1" max="1" width="3.28515625" style="29" customWidth="1"/>
    <col min="2" max="2" width="5" style="29" customWidth="1"/>
    <col min="3" max="3" width="104.28515625" style="29" customWidth="1"/>
    <col min="4" max="8" width="9.140625" style="29"/>
    <col min="9" max="9" width="4.7109375" style="29" customWidth="1"/>
    <col min="10" max="10" width="3.7109375" style="29" customWidth="1"/>
    <col min="11" max="11" width="62.28515625" style="29" customWidth="1"/>
    <col min="12" max="16384" width="9.140625" style="29"/>
  </cols>
  <sheetData>
    <row r="1" spans="2:11" ht="20.65" customHeight="1">
      <c r="C1" s="140" t="s">
        <v>855</v>
      </c>
      <c r="D1" s="141"/>
      <c r="E1" s="141"/>
      <c r="F1" s="141"/>
      <c r="G1" s="141"/>
      <c r="H1" s="141"/>
      <c r="I1" s="141"/>
      <c r="J1" s="141"/>
      <c r="K1" s="141"/>
    </row>
    <row r="2" spans="2:11" ht="20.65" customHeight="1">
      <c r="C2" s="140"/>
      <c r="D2" s="141"/>
      <c r="E2" s="141"/>
      <c r="F2" s="141"/>
      <c r="G2" s="141"/>
      <c r="H2" s="141"/>
      <c r="I2" s="141"/>
      <c r="J2" s="141"/>
      <c r="K2" s="141"/>
    </row>
    <row r="3" spans="2:11" ht="20.65" customHeight="1">
      <c r="C3" s="140"/>
      <c r="D3" s="141"/>
      <c r="E3" s="141"/>
      <c r="F3" s="141"/>
      <c r="G3" s="141"/>
      <c r="H3" s="141"/>
      <c r="I3" s="141"/>
      <c r="J3" s="141"/>
      <c r="K3" s="141"/>
    </row>
    <row r="4" spans="2:11" ht="20.65" customHeight="1">
      <c r="B4" s="2167" t="s">
        <v>856</v>
      </c>
      <c r="C4" s="2168"/>
      <c r="D4" s="141"/>
      <c r="E4" s="141"/>
      <c r="F4" s="141"/>
      <c r="G4" s="141"/>
      <c r="H4" s="141"/>
      <c r="I4" s="141"/>
      <c r="J4" s="141"/>
      <c r="K4" s="141"/>
    </row>
    <row r="5" spans="2:11" ht="20.65" customHeight="1">
      <c r="B5" s="142"/>
      <c r="C5" s="127"/>
      <c r="D5" s="141"/>
      <c r="E5" s="141"/>
      <c r="F5" s="141"/>
      <c r="G5" s="141"/>
      <c r="H5" s="141"/>
      <c r="I5" s="141"/>
      <c r="J5" s="141"/>
      <c r="K5" s="141"/>
    </row>
    <row r="6" spans="2:11" ht="20.65" customHeight="1">
      <c r="B6" s="2169" t="s">
        <v>857</v>
      </c>
      <c r="C6" s="2170"/>
      <c r="D6" s="141"/>
      <c r="E6" s="141"/>
      <c r="F6" s="141"/>
      <c r="G6" s="141"/>
      <c r="H6" s="141"/>
      <c r="I6" s="141"/>
      <c r="J6" s="141"/>
      <c r="K6" s="141"/>
    </row>
    <row r="7" spans="2:11" s="145" customFormat="1" ht="20.100000000000001" customHeight="1">
      <c r="B7" s="143" t="s">
        <v>767</v>
      </c>
      <c r="C7" s="144" t="s">
        <v>858</v>
      </c>
    </row>
    <row r="8" spans="2:11" s="145" customFormat="1" ht="20.100000000000001" customHeight="1">
      <c r="B8" s="143" t="s">
        <v>768</v>
      </c>
      <c r="C8" s="144" t="s">
        <v>859</v>
      </c>
    </row>
    <row r="9" spans="2:11" s="145" customFormat="1" ht="20.100000000000001" customHeight="1">
      <c r="B9" s="143" t="s">
        <v>769</v>
      </c>
      <c r="C9" s="144" t="s">
        <v>860</v>
      </c>
    </row>
    <row r="10" spans="2:11" s="145" customFormat="1" ht="35.25" customHeight="1">
      <c r="B10" s="143" t="s">
        <v>770</v>
      </c>
      <c r="C10" s="146" t="s">
        <v>1113</v>
      </c>
    </row>
    <row r="11" spans="2:11" ht="80.099999999999994" customHeight="1">
      <c r="B11" s="147" t="s">
        <v>861</v>
      </c>
      <c r="C11" s="148" t="s">
        <v>862</v>
      </c>
      <c r="D11" s="141"/>
      <c r="E11" s="141"/>
      <c r="F11" s="141"/>
      <c r="G11" s="141"/>
      <c r="H11" s="141"/>
      <c r="I11" s="141"/>
      <c r="J11" s="141"/>
      <c r="K11" s="141"/>
    </row>
    <row r="12" spans="2:11" ht="57.75" customHeight="1"/>
    <row r="13" spans="2:11" ht="60" customHeight="1">
      <c r="B13" s="2171" t="s">
        <v>863</v>
      </c>
      <c r="C13" s="2172"/>
      <c r="D13" s="149"/>
      <c r="E13" s="149"/>
      <c r="F13" s="149"/>
      <c r="G13" s="149"/>
      <c r="H13" s="149"/>
      <c r="I13" s="149"/>
      <c r="J13" s="150"/>
    </row>
    <row r="14" spans="2:11" ht="66.75" customHeight="1">
      <c r="B14" s="2173" t="s">
        <v>864</v>
      </c>
      <c r="C14" s="2174"/>
      <c r="D14" s="149"/>
      <c r="E14" s="2175"/>
      <c r="F14" s="2175"/>
      <c r="G14" s="149"/>
      <c r="H14" s="149"/>
      <c r="I14" s="149"/>
      <c r="J14" s="150"/>
    </row>
    <row r="15" spans="2:11">
      <c r="B15" s="151"/>
      <c r="C15" s="152"/>
    </row>
    <row r="16" spans="2:11" ht="15">
      <c r="B16" s="153" t="s">
        <v>865</v>
      </c>
      <c r="C16" s="154"/>
    </row>
    <row r="17" spans="2:3" ht="15">
      <c r="B17" s="155" t="s">
        <v>767</v>
      </c>
      <c r="C17" s="156" t="s">
        <v>181</v>
      </c>
    </row>
    <row r="18" spans="2:3" ht="30">
      <c r="B18" s="155" t="s">
        <v>768</v>
      </c>
      <c r="C18" s="157" t="s">
        <v>182</v>
      </c>
    </row>
    <row r="19" spans="2:3" ht="48" customHeight="1">
      <c r="B19" s="155" t="s">
        <v>769</v>
      </c>
      <c r="C19" s="158" t="s">
        <v>866</v>
      </c>
    </row>
    <row r="20" spans="2:3" ht="61.5" customHeight="1">
      <c r="B20" s="155" t="s">
        <v>770</v>
      </c>
      <c r="C20" s="159" t="s">
        <v>867</v>
      </c>
    </row>
    <row r="21" spans="2:3" ht="30">
      <c r="B21" s="155" t="s">
        <v>861</v>
      </c>
      <c r="C21" s="160" t="s">
        <v>185</v>
      </c>
    </row>
    <row r="22" spans="2:3" ht="15">
      <c r="B22" s="155" t="s">
        <v>868</v>
      </c>
      <c r="C22" s="156" t="s">
        <v>186</v>
      </c>
    </row>
    <row r="23" spans="2:3" ht="15">
      <c r="B23" s="155"/>
      <c r="C23" s="161"/>
    </row>
    <row r="24" spans="2:3" ht="15">
      <c r="B24" s="155"/>
      <c r="C24" s="161"/>
    </row>
    <row r="25" spans="2:3" ht="20.100000000000001" customHeight="1">
      <c r="B25" s="162" t="s">
        <v>187</v>
      </c>
      <c r="C25" s="161"/>
    </row>
    <row r="26" spans="2:3" ht="20.100000000000001" customHeight="1">
      <c r="B26" s="163" t="s">
        <v>767</v>
      </c>
      <c r="C26" s="164" t="s">
        <v>869</v>
      </c>
    </row>
    <row r="27" spans="2:3" ht="20.100000000000001" customHeight="1">
      <c r="B27" s="155" t="s">
        <v>768</v>
      </c>
      <c r="C27" s="156" t="s">
        <v>188</v>
      </c>
    </row>
    <row r="28" spans="2:3" ht="20.100000000000001" customHeight="1">
      <c r="B28" s="155" t="s">
        <v>769</v>
      </c>
      <c r="C28" s="160" t="s">
        <v>189</v>
      </c>
    </row>
    <row r="29" spans="2:3" ht="65.099999999999994" customHeight="1">
      <c r="B29" s="155" t="s">
        <v>770</v>
      </c>
      <c r="C29" s="160" t="s">
        <v>190</v>
      </c>
    </row>
    <row r="30" spans="2:3" ht="20.100000000000001" customHeight="1">
      <c r="B30" s="155" t="s">
        <v>861</v>
      </c>
      <c r="C30" s="160" t="s">
        <v>191</v>
      </c>
    </row>
    <row r="31" spans="2:3" ht="20.100000000000001" customHeight="1">
      <c r="B31" s="155" t="s">
        <v>868</v>
      </c>
      <c r="C31" s="160" t="s">
        <v>192</v>
      </c>
    </row>
    <row r="32" spans="2:3" ht="80.099999999999994" customHeight="1">
      <c r="B32" s="155" t="s">
        <v>870</v>
      </c>
      <c r="C32" s="160" t="s">
        <v>871</v>
      </c>
    </row>
    <row r="33" spans="2:3" ht="35.25" customHeight="1">
      <c r="B33" s="163" t="s">
        <v>872</v>
      </c>
      <c r="C33" s="165" t="s">
        <v>873</v>
      </c>
    </row>
    <row r="34" spans="2:3" ht="35.25" customHeight="1">
      <c r="B34" s="163" t="s">
        <v>874</v>
      </c>
      <c r="C34" s="165" t="s">
        <v>875</v>
      </c>
    </row>
    <row r="35" spans="2:3" ht="7.5" customHeight="1">
      <c r="B35" s="166"/>
      <c r="C35" s="167"/>
    </row>
    <row r="36" spans="2:3" ht="15">
      <c r="B36" s="168"/>
      <c r="C36" s="169"/>
    </row>
    <row r="37" spans="2:3" ht="15.75">
      <c r="C37" s="170"/>
    </row>
    <row r="38" spans="2:3" ht="15">
      <c r="C38" s="169"/>
    </row>
    <row r="39" spans="2:3" ht="15.75">
      <c r="C39" s="74"/>
    </row>
    <row r="41" spans="2:3" ht="15.75">
      <c r="C41" s="74"/>
    </row>
  </sheetData>
  <mergeCells count="5">
    <mergeCell ref="B4:C4"/>
    <mergeCell ref="B6:C6"/>
    <mergeCell ref="B13:C13"/>
    <mergeCell ref="B14:C14"/>
    <mergeCell ref="E14:F14"/>
  </mergeCells>
  <hyperlinks>
    <hyperlink ref="C26" r:id="rId1"/>
    <hyperlink ref="C33" r:id="rId2"/>
    <hyperlink ref="C34" r:id="rId3"/>
    <hyperlink ref="B13:C13" r:id="rId4" display="All new formal rate case applications and subsequent filings must be filed with the PSC in electronically on the PSC’s Electronic Regulatory Filing system at http://psc.wi.gov/apps35/erf_public/Default.aspx."/>
    <hyperlink ref="B14:C14" r:id="rId5" display="Detailed instructions and guidelines can be found on the PSC's Electronic Regulatory Filing system web site at: http://psc.wi.gov/apps35/ERF_public/info/Document.aspx."/>
  </hyperlinks>
  <printOptions horizontalCentered="1"/>
  <pageMargins left="0.5" right="0.5" top="1" bottom="1" header="0.5" footer="0.5"/>
  <pageSetup scale="61" orientation="portrait" r:id="rId6"/>
  <headerFooter alignWithMargins="0"/>
</worksheet>
</file>

<file path=xl/worksheets/sheet4.xml><?xml version="1.0" encoding="utf-8"?>
<worksheet xmlns="http://schemas.openxmlformats.org/spreadsheetml/2006/main" xmlns:r="http://schemas.openxmlformats.org/officeDocument/2006/relationships">
  <sheetPr codeName="Sheet27">
    <pageSetUpPr autoPageBreaks="0"/>
  </sheetPr>
  <dimension ref="A1:H280"/>
  <sheetViews>
    <sheetView showGridLines="0" topLeftCell="A67" zoomScaleNormal="100" workbookViewId="0">
      <selection activeCell="A39" sqref="A39"/>
    </sheetView>
  </sheetViews>
  <sheetFormatPr defaultRowHeight="12.75"/>
  <cols>
    <col min="1" max="1" width="7.7109375" style="71" customWidth="1"/>
    <col min="2" max="2" width="2" style="71" customWidth="1"/>
    <col min="3" max="3" width="2.28515625" style="71" customWidth="1"/>
    <col min="4" max="4" width="103.28515625" style="29" customWidth="1"/>
    <col min="5" max="5" width="5.140625" style="71" customWidth="1"/>
    <col min="6" max="16384" width="9.140625" style="29"/>
  </cols>
  <sheetData>
    <row r="1" spans="1:8">
      <c r="A1" s="1166"/>
      <c r="B1" s="1166"/>
      <c r="C1" s="1166"/>
      <c r="D1" s="1166"/>
      <c r="E1" s="1166"/>
      <c r="F1" s="460"/>
      <c r="G1" s="1167"/>
      <c r="H1" s="1167"/>
    </row>
    <row r="2" spans="1:8" ht="13.5" thickBot="1">
      <c r="A2" s="1166"/>
      <c r="B2" s="1166"/>
      <c r="C2" s="1166"/>
      <c r="D2" s="1166"/>
      <c r="E2" s="1166"/>
      <c r="F2" s="460"/>
      <c r="G2" s="1167"/>
      <c r="H2" s="1167"/>
    </row>
    <row r="3" spans="1:8" ht="15.75" thickTop="1">
      <c r="A3" s="1166"/>
      <c r="B3" s="1168"/>
      <c r="C3" s="1169"/>
      <c r="D3" s="1170" t="s">
        <v>37</v>
      </c>
      <c r="E3" s="1166"/>
      <c r="F3" s="460"/>
      <c r="G3" s="1167"/>
      <c r="H3" s="1167"/>
    </row>
    <row r="4" spans="1:8" ht="15">
      <c r="A4" s="1166"/>
      <c r="B4" s="1171"/>
      <c r="C4" s="1172"/>
      <c r="D4" s="1173"/>
      <c r="E4" s="1166"/>
      <c r="F4" s="460"/>
      <c r="G4" s="1167"/>
      <c r="H4" s="1167"/>
    </row>
    <row r="5" spans="1:8" ht="16.5" thickBot="1">
      <c r="A5" s="1166"/>
      <c r="B5" s="1174"/>
      <c r="C5" s="1175"/>
      <c r="D5" s="1176" t="str">
        <f>"Class " &amp; Class &amp; " Water Utilities"</f>
        <v>Class AB Water Utilities</v>
      </c>
      <c r="E5" s="1166"/>
      <c r="F5" s="460"/>
      <c r="G5" s="1167"/>
      <c r="H5" s="1167"/>
    </row>
    <row r="6" spans="1:8" ht="16.5" thickTop="1">
      <c r="A6" s="1166"/>
      <c r="B6" s="1160"/>
      <c r="C6" s="1161"/>
      <c r="D6" s="1162" t="s">
        <v>38</v>
      </c>
      <c r="E6" s="1166"/>
      <c r="F6" s="460"/>
      <c r="G6" s="1167"/>
      <c r="H6" s="1167"/>
    </row>
    <row r="7" spans="1:8">
      <c r="A7" s="1166"/>
      <c r="B7" s="1160"/>
      <c r="C7" s="1161"/>
      <c r="D7" s="1163" t="s">
        <v>39</v>
      </c>
      <c r="E7" s="1166"/>
      <c r="F7" s="460"/>
      <c r="G7" s="1167"/>
      <c r="H7" s="1167"/>
    </row>
    <row r="8" spans="1:8">
      <c r="A8" s="1166"/>
      <c r="B8" s="1160"/>
      <c r="C8" s="1161"/>
      <c r="D8" s="1164" t="s">
        <v>40</v>
      </c>
      <c r="E8" s="1166"/>
      <c r="F8" s="460"/>
      <c r="G8" s="1167"/>
      <c r="H8" s="1167"/>
    </row>
    <row r="9" spans="1:8">
      <c r="A9" s="1166"/>
      <c r="B9" s="1160"/>
      <c r="C9" s="1161"/>
      <c r="D9" s="1164" t="s">
        <v>41</v>
      </c>
      <c r="E9" s="1166"/>
      <c r="F9" s="460"/>
      <c r="G9" s="1167"/>
      <c r="H9" s="1167"/>
    </row>
    <row r="10" spans="1:8">
      <c r="A10" s="1166"/>
      <c r="B10" s="1160"/>
      <c r="C10" s="1161"/>
      <c r="D10" s="16" t="s">
        <v>1047</v>
      </c>
      <c r="E10" s="1166"/>
      <c r="F10" s="460"/>
      <c r="G10" s="1167"/>
      <c r="H10" s="1167"/>
    </row>
    <row r="11" spans="1:8">
      <c r="A11" s="1166"/>
      <c r="B11" s="1160"/>
      <c r="C11" s="1161"/>
      <c r="D11" s="16" t="s">
        <v>1050</v>
      </c>
      <c r="E11" s="1166"/>
      <c r="F11" s="460"/>
      <c r="G11" s="1167"/>
      <c r="H11" s="1167"/>
    </row>
    <row r="12" spans="1:8">
      <c r="A12" s="1166"/>
      <c r="B12" s="1160"/>
      <c r="C12" s="1161"/>
      <c r="D12" s="16" t="s">
        <v>1073</v>
      </c>
      <c r="E12" s="1166"/>
      <c r="F12" s="460"/>
      <c r="G12" s="1167"/>
      <c r="H12" s="1167"/>
    </row>
    <row r="13" spans="1:8">
      <c r="A13" s="1166"/>
      <c r="B13" s="1160"/>
      <c r="C13" s="1161"/>
      <c r="D13" s="16" t="s">
        <v>1048</v>
      </c>
      <c r="E13" s="1166"/>
      <c r="F13" s="460"/>
      <c r="G13" s="1167"/>
      <c r="H13" s="1167"/>
    </row>
    <row r="14" spans="1:8">
      <c r="A14" s="1166"/>
      <c r="B14" s="1160"/>
      <c r="C14" s="1161"/>
      <c r="D14" s="16" t="s">
        <v>1049</v>
      </c>
      <c r="E14" s="1166"/>
      <c r="F14" s="460"/>
      <c r="G14" s="1167"/>
      <c r="H14" s="1167"/>
    </row>
    <row r="15" spans="1:8">
      <c r="A15" s="1166"/>
      <c r="B15" s="1160"/>
      <c r="C15" s="1161"/>
      <c r="D15" s="16" t="s">
        <v>1034</v>
      </c>
      <c r="E15" s="1166"/>
      <c r="F15" s="460"/>
      <c r="G15" s="1167"/>
      <c r="H15" s="1167"/>
    </row>
    <row r="16" spans="1:8">
      <c r="A16" s="1166"/>
      <c r="B16" s="1160"/>
      <c r="C16" s="1161"/>
      <c r="D16" s="1163" t="s">
        <v>42</v>
      </c>
      <c r="E16" s="1166"/>
      <c r="F16" s="460"/>
      <c r="G16" s="1167"/>
      <c r="H16" s="1167"/>
    </row>
    <row r="17" spans="1:8">
      <c r="A17" s="1166"/>
      <c r="B17" s="1160"/>
      <c r="C17" s="1161"/>
      <c r="D17" s="1163" t="s">
        <v>43</v>
      </c>
      <c r="E17" s="1166"/>
      <c r="F17" s="460"/>
      <c r="G17" s="1167"/>
      <c r="H17" s="1167"/>
    </row>
    <row r="18" spans="1:8">
      <c r="A18" s="1166"/>
      <c r="B18" s="1160"/>
      <c r="C18" s="1161"/>
      <c r="D18" s="1163" t="s">
        <v>44</v>
      </c>
      <c r="E18" s="1166"/>
      <c r="F18" s="460"/>
      <c r="G18" s="1167"/>
      <c r="H18" s="1167"/>
    </row>
    <row r="19" spans="1:8">
      <c r="A19" s="1166"/>
      <c r="B19" s="1160"/>
      <c r="C19" s="1161"/>
      <c r="D19" s="1163" t="s">
        <v>45</v>
      </c>
      <c r="E19" s="1166"/>
      <c r="F19" s="460"/>
      <c r="G19" s="1167"/>
      <c r="H19" s="1167"/>
    </row>
    <row r="20" spans="1:8">
      <c r="A20" s="1166"/>
      <c r="B20" s="1160"/>
      <c r="C20" s="1161"/>
      <c r="D20" s="1163" t="s">
        <v>46</v>
      </c>
      <c r="E20" s="1166"/>
      <c r="F20" s="460"/>
      <c r="G20" s="1167"/>
      <c r="H20" s="1167"/>
    </row>
    <row r="21" spans="1:8">
      <c r="A21" s="1166"/>
      <c r="B21" s="1160"/>
      <c r="C21" s="1161"/>
      <c r="D21" s="16" t="s">
        <v>1051</v>
      </c>
      <c r="E21" s="1166"/>
      <c r="F21" s="460"/>
      <c r="G21" s="1167"/>
      <c r="H21" s="1167"/>
    </row>
    <row r="22" spans="1:8">
      <c r="A22" s="1166"/>
      <c r="B22" s="1160"/>
      <c r="C22" s="1161"/>
      <c r="D22" s="1163" t="s">
        <v>47</v>
      </c>
      <c r="E22" s="1166"/>
      <c r="F22" s="460"/>
      <c r="G22" s="1167"/>
      <c r="H22" s="1167"/>
    </row>
    <row r="23" spans="1:8">
      <c r="A23" s="1166"/>
      <c r="B23" s="1160"/>
      <c r="C23" s="1161"/>
      <c r="D23" s="1163" t="s">
        <v>48</v>
      </c>
      <c r="E23" s="1166"/>
      <c r="F23" s="460"/>
      <c r="G23" s="1167"/>
      <c r="H23" s="1167"/>
    </row>
    <row r="24" spans="1:8">
      <c r="A24" s="1166"/>
      <c r="B24" s="1160"/>
      <c r="C24" s="1161"/>
      <c r="D24" s="1163" t="s">
        <v>49</v>
      </c>
      <c r="E24" s="1166"/>
      <c r="F24" s="460"/>
      <c r="G24" s="1167"/>
      <c r="H24" s="1167"/>
    </row>
    <row r="25" spans="1:8">
      <c r="A25" s="1166"/>
      <c r="B25" s="1160"/>
      <c r="C25" s="1161"/>
      <c r="D25" s="16" t="s">
        <v>1052</v>
      </c>
      <c r="E25" s="1166"/>
      <c r="F25" s="460"/>
      <c r="G25" s="1167"/>
      <c r="H25" s="1167"/>
    </row>
    <row r="26" spans="1:8">
      <c r="A26" s="1166"/>
      <c r="B26" s="1160"/>
      <c r="C26" s="1161"/>
      <c r="D26" s="1163" t="s">
        <v>50</v>
      </c>
      <c r="E26" s="1166"/>
      <c r="F26" s="460"/>
      <c r="G26" s="1167"/>
      <c r="H26" s="1167"/>
    </row>
    <row r="27" spans="1:8">
      <c r="A27" s="1166"/>
      <c r="B27" s="1160"/>
      <c r="C27" s="1161"/>
      <c r="D27" s="1163" t="s">
        <v>51</v>
      </c>
      <c r="E27" s="1166"/>
      <c r="F27" s="460"/>
      <c r="G27" s="1167"/>
      <c r="H27" s="1167"/>
    </row>
    <row r="28" spans="1:8">
      <c r="A28" s="1166"/>
      <c r="B28" s="1160"/>
      <c r="C28" s="1161"/>
      <c r="D28" s="16" t="s">
        <v>1053</v>
      </c>
      <c r="E28" s="1166"/>
      <c r="F28" s="460"/>
      <c r="G28" s="1167"/>
      <c r="H28" s="1167"/>
    </row>
    <row r="29" spans="1:8">
      <c r="A29" s="1166"/>
      <c r="B29" s="1160"/>
      <c r="C29" s="1161"/>
      <c r="D29" s="1163" t="s">
        <v>52</v>
      </c>
      <c r="E29" s="1166"/>
      <c r="F29" s="460"/>
      <c r="G29" s="1167"/>
      <c r="H29" s="1167"/>
    </row>
    <row r="30" spans="1:8">
      <c r="A30" s="1166"/>
      <c r="B30" s="1160"/>
      <c r="C30" s="1161"/>
      <c r="D30" s="16" t="s">
        <v>1033</v>
      </c>
      <c r="E30" s="1166"/>
      <c r="F30" s="460"/>
      <c r="G30" s="1167"/>
      <c r="H30" s="1167"/>
    </row>
    <row r="31" spans="1:8">
      <c r="A31" s="1166"/>
      <c r="B31" s="1160"/>
      <c r="C31" s="1161"/>
      <c r="D31" s="1163" t="s">
        <v>33</v>
      </c>
      <c r="E31" s="1166"/>
      <c r="F31" s="460"/>
      <c r="G31" s="1167"/>
      <c r="H31" s="1167"/>
    </row>
    <row r="32" spans="1:8">
      <c r="A32" s="1166"/>
      <c r="B32" s="1160"/>
      <c r="C32" s="1161"/>
      <c r="D32" s="16" t="s">
        <v>145</v>
      </c>
      <c r="E32" s="1166"/>
      <c r="F32" s="460"/>
      <c r="G32" s="1167"/>
      <c r="H32" s="1167"/>
    </row>
    <row r="33" spans="1:8">
      <c r="A33" s="1166"/>
      <c r="B33" s="1160"/>
      <c r="C33" s="1161"/>
      <c r="D33" s="16" t="s">
        <v>158</v>
      </c>
      <c r="E33" s="1166"/>
      <c r="F33" s="460"/>
      <c r="G33" s="1167"/>
      <c r="H33" s="1167"/>
    </row>
    <row r="34" spans="1:8">
      <c r="A34" s="1166"/>
      <c r="B34" s="1160"/>
      <c r="C34" s="1161"/>
      <c r="D34" s="1163" t="s">
        <v>53</v>
      </c>
      <c r="E34" s="1166"/>
      <c r="F34" s="460"/>
      <c r="G34" s="1167"/>
      <c r="H34" s="1167"/>
    </row>
    <row r="35" spans="1:8">
      <c r="A35" s="1166"/>
      <c r="B35" s="1160"/>
      <c r="C35" s="1161"/>
      <c r="D35" s="1783" t="s">
        <v>54</v>
      </c>
      <c r="E35" s="1166"/>
      <c r="F35" s="460"/>
      <c r="G35" s="1167"/>
      <c r="H35" s="1167"/>
    </row>
    <row r="36" spans="1:8">
      <c r="A36" s="1166"/>
      <c r="B36" s="1160"/>
      <c r="C36" s="1161"/>
      <c r="D36" s="16" t="s">
        <v>1054</v>
      </c>
      <c r="E36" s="1166"/>
      <c r="F36" s="460"/>
      <c r="G36" s="1167"/>
      <c r="H36" s="1167"/>
    </row>
    <row r="37" spans="1:8" ht="13.5" thickBot="1">
      <c r="A37" s="1166"/>
      <c r="B37" s="1160"/>
      <c r="C37" s="1161"/>
      <c r="D37" s="1165"/>
      <c r="E37" s="1166"/>
      <c r="F37" s="460"/>
      <c r="G37" s="1167"/>
      <c r="H37" s="1167"/>
    </row>
    <row r="38" spans="1:8" ht="13.5" thickTop="1">
      <c r="A38" s="30"/>
      <c r="B38" s="31"/>
      <c r="C38" s="31"/>
      <c r="D38" s="32"/>
      <c r="E38" s="30"/>
      <c r="F38" s="460"/>
      <c r="G38" s="1167"/>
      <c r="H38" s="1167"/>
    </row>
    <row r="39" spans="1:8">
      <c r="A39" s="33"/>
      <c r="B39" s="1864" t="s">
        <v>39</v>
      </c>
      <c r="C39" s="1863"/>
      <c r="D39" s="1863"/>
      <c r="E39" s="34"/>
      <c r="F39" s="460"/>
      <c r="G39" s="1167"/>
      <c r="H39" s="1167"/>
    </row>
    <row r="40" spans="1:8" ht="25.5">
      <c r="A40" s="35"/>
      <c r="B40" s="36"/>
      <c r="C40" s="36" t="s">
        <v>55</v>
      </c>
      <c r="D40" s="37" t="s">
        <v>56</v>
      </c>
      <c r="E40" s="34"/>
      <c r="F40" s="460"/>
      <c r="G40" s="1167"/>
      <c r="H40" s="1167"/>
    </row>
    <row r="41" spans="1:8">
      <c r="A41" s="33"/>
      <c r="B41" s="38"/>
      <c r="C41" s="36" t="s">
        <v>57</v>
      </c>
      <c r="D41" s="39" t="s">
        <v>58</v>
      </c>
      <c r="E41" s="33"/>
      <c r="F41" s="460"/>
      <c r="G41" s="1167"/>
      <c r="H41" s="1167"/>
    </row>
    <row r="42" spans="1:8">
      <c r="A42" s="33"/>
      <c r="B42" s="38"/>
      <c r="C42" s="36" t="s">
        <v>59</v>
      </c>
      <c r="D42" s="39" t="s">
        <v>60</v>
      </c>
      <c r="E42" s="33"/>
      <c r="F42" s="460"/>
      <c r="G42" s="1167"/>
      <c r="H42" s="1167"/>
    </row>
    <row r="43" spans="1:8" ht="28.15" customHeight="1">
      <c r="A43" s="33"/>
      <c r="B43" s="38"/>
      <c r="C43" s="1776" t="s">
        <v>61</v>
      </c>
      <c r="D43" s="1778" t="s">
        <v>1055</v>
      </c>
      <c r="E43" s="33"/>
      <c r="F43" s="460"/>
      <c r="G43" s="1167"/>
      <c r="H43" s="1167"/>
    </row>
    <row r="44" spans="1:8">
      <c r="A44" s="33"/>
      <c r="B44" s="38"/>
      <c r="C44" s="38"/>
      <c r="D44" s="41"/>
      <c r="E44" s="33"/>
      <c r="F44" s="460"/>
      <c r="G44" s="1167"/>
      <c r="H44" s="1167"/>
    </row>
    <row r="45" spans="1:8">
      <c r="A45" s="33"/>
      <c r="B45" s="1862" t="s">
        <v>40</v>
      </c>
      <c r="C45" s="1863"/>
      <c r="D45" s="1863"/>
      <c r="E45" s="42"/>
      <c r="F45" s="460"/>
      <c r="G45" s="1167"/>
      <c r="H45" s="1167"/>
    </row>
    <row r="46" spans="1:8">
      <c r="A46" s="33"/>
      <c r="B46" s="38"/>
      <c r="C46" s="38" t="s">
        <v>55</v>
      </c>
      <c r="D46" s="43" t="s">
        <v>63</v>
      </c>
      <c r="E46" s="42"/>
      <c r="F46" s="460"/>
      <c r="G46" s="1167"/>
      <c r="H46" s="1167"/>
    </row>
    <row r="47" spans="1:8">
      <c r="A47" s="33"/>
      <c r="B47" s="38"/>
      <c r="C47" s="38"/>
      <c r="D47" s="44"/>
      <c r="E47" s="33"/>
      <c r="F47" s="460"/>
      <c r="G47" s="1167"/>
      <c r="H47" s="1167"/>
    </row>
    <row r="48" spans="1:8">
      <c r="A48" s="33"/>
      <c r="B48" s="1862" t="s">
        <v>41</v>
      </c>
      <c r="C48" s="1863"/>
      <c r="D48" s="1863"/>
      <c r="E48" s="42"/>
      <c r="F48" s="460"/>
      <c r="G48" s="1167"/>
      <c r="H48" s="1167"/>
    </row>
    <row r="49" spans="1:8">
      <c r="A49" s="33"/>
      <c r="B49" s="38"/>
      <c r="C49" s="36" t="s">
        <v>55</v>
      </c>
      <c r="D49" s="39" t="s">
        <v>64</v>
      </c>
      <c r="E49" s="42"/>
      <c r="F49" s="460"/>
      <c r="G49" s="1167"/>
      <c r="H49" s="1167"/>
    </row>
    <row r="50" spans="1:8" ht="12.75" customHeight="1">
      <c r="A50" s="33"/>
      <c r="B50" s="38"/>
      <c r="C50" s="36" t="s">
        <v>57</v>
      </c>
      <c r="D50" s="40" t="s">
        <v>65</v>
      </c>
      <c r="E50" s="42"/>
      <c r="F50" s="460"/>
      <c r="G50" s="1167"/>
      <c r="H50" s="1167"/>
    </row>
    <row r="51" spans="1:8">
      <c r="A51" s="33"/>
      <c r="B51" s="38"/>
      <c r="C51" s="36" t="s">
        <v>59</v>
      </c>
      <c r="D51" s="1777" t="s">
        <v>1046</v>
      </c>
      <c r="E51" s="42"/>
      <c r="F51" s="460"/>
      <c r="G51" s="1167"/>
      <c r="H51" s="1167"/>
    </row>
    <row r="52" spans="1:8">
      <c r="A52" s="33"/>
      <c r="B52" s="38"/>
      <c r="C52" s="36" t="s">
        <v>61</v>
      </c>
      <c r="D52" s="39" t="s">
        <v>66</v>
      </c>
      <c r="E52" s="42"/>
      <c r="F52" s="460"/>
      <c r="G52" s="1167"/>
      <c r="H52" s="1167"/>
    </row>
    <row r="53" spans="1:8">
      <c r="A53" s="33"/>
      <c r="B53" s="38"/>
      <c r="C53" s="38"/>
      <c r="D53" s="44" t="s">
        <v>67</v>
      </c>
      <c r="E53" s="33"/>
      <c r="F53" s="460"/>
      <c r="G53" s="1167"/>
      <c r="H53" s="1167"/>
    </row>
    <row r="54" spans="1:8">
      <c r="A54" s="33"/>
      <c r="B54" s="1865" t="s">
        <v>1047</v>
      </c>
      <c r="C54" s="1865"/>
      <c r="D54" s="1865"/>
      <c r="E54" s="42"/>
      <c r="F54" s="460"/>
      <c r="G54" s="1167"/>
      <c r="H54" s="1167"/>
    </row>
    <row r="55" spans="1:8">
      <c r="A55" s="33"/>
      <c r="B55" s="38"/>
      <c r="C55" s="36" t="s">
        <v>55</v>
      </c>
      <c r="D55" s="1777" t="s">
        <v>1056</v>
      </c>
      <c r="E55" s="42"/>
      <c r="F55" s="460"/>
      <c r="G55" s="1167"/>
      <c r="H55" s="1167"/>
    </row>
    <row r="56" spans="1:8" ht="25.5">
      <c r="A56" s="33"/>
      <c r="B56" s="38"/>
      <c r="C56" s="36" t="s">
        <v>57</v>
      </c>
      <c r="D56" s="40" t="s">
        <v>68</v>
      </c>
      <c r="E56" s="42"/>
      <c r="F56" s="460"/>
      <c r="G56" s="1167"/>
      <c r="H56" s="1167"/>
    </row>
    <row r="57" spans="1:8">
      <c r="A57" s="33"/>
      <c r="B57" s="38"/>
      <c r="C57" s="36" t="s">
        <v>59</v>
      </c>
      <c r="D57" s="1777" t="s">
        <v>1071</v>
      </c>
      <c r="E57" s="33"/>
      <c r="F57" s="460"/>
      <c r="G57" s="1167"/>
      <c r="H57" s="1167"/>
    </row>
    <row r="58" spans="1:8">
      <c r="A58" s="33"/>
      <c r="B58" s="38"/>
      <c r="C58" s="36" t="s">
        <v>61</v>
      </c>
      <c r="D58" s="39" t="s">
        <v>69</v>
      </c>
      <c r="E58" s="33"/>
      <c r="F58" s="460"/>
      <c r="G58" s="1167"/>
      <c r="H58" s="1167"/>
    </row>
    <row r="59" spans="1:8" ht="25.5">
      <c r="A59" s="33"/>
      <c r="B59" s="38"/>
      <c r="C59" s="36" t="s">
        <v>62</v>
      </c>
      <c r="D59" s="1778" t="s">
        <v>1057</v>
      </c>
      <c r="E59" s="34"/>
      <c r="F59" s="460"/>
      <c r="G59" s="1167"/>
      <c r="H59" s="1167"/>
    </row>
    <row r="60" spans="1:8">
      <c r="A60" s="33"/>
      <c r="B60" s="38"/>
      <c r="C60" s="36" t="s">
        <v>70</v>
      </c>
      <c r="D60" s="1778" t="s">
        <v>1058</v>
      </c>
      <c r="E60" s="34"/>
      <c r="F60" s="460"/>
      <c r="G60" s="1167"/>
      <c r="H60" s="1167"/>
    </row>
    <row r="61" spans="1:8">
      <c r="A61" s="33"/>
      <c r="B61" s="38"/>
      <c r="C61" s="36"/>
      <c r="D61" s="1778"/>
      <c r="E61" s="34"/>
      <c r="F61" s="460"/>
      <c r="G61" s="1167"/>
      <c r="H61" s="1167"/>
    </row>
    <row r="62" spans="1:8">
      <c r="A62" s="33"/>
      <c r="B62" s="1780" t="s">
        <v>1050</v>
      </c>
      <c r="C62" s="1785"/>
      <c r="D62" s="1784"/>
      <c r="E62" s="34"/>
      <c r="F62" s="460"/>
      <c r="G62" s="1167"/>
      <c r="H62" s="1167"/>
    </row>
    <row r="63" spans="1:8">
      <c r="A63" s="33"/>
      <c r="B63" s="1779" t="s">
        <v>1059</v>
      </c>
      <c r="C63" s="1776" t="s">
        <v>55</v>
      </c>
      <c r="D63" s="1778" t="s">
        <v>1065</v>
      </c>
      <c r="E63" s="34"/>
      <c r="F63" s="460"/>
      <c r="G63" s="1167"/>
      <c r="H63" s="1167"/>
    </row>
    <row r="64" spans="1:8">
      <c r="A64" s="33"/>
      <c r="B64" s="1779" t="s">
        <v>1060</v>
      </c>
      <c r="C64" s="1776" t="s">
        <v>57</v>
      </c>
      <c r="D64" s="1778" t="s">
        <v>1066</v>
      </c>
      <c r="E64" s="34"/>
      <c r="F64" s="460"/>
      <c r="G64" s="1167"/>
      <c r="H64" s="1167"/>
    </row>
    <row r="65" spans="1:8" ht="13.15" customHeight="1">
      <c r="A65" s="33"/>
      <c r="B65" s="1779" t="s">
        <v>1061</v>
      </c>
      <c r="C65" s="1776" t="s">
        <v>59</v>
      </c>
      <c r="D65" s="1778" t="s">
        <v>1067</v>
      </c>
      <c r="E65" s="34"/>
      <c r="F65" s="460"/>
      <c r="G65" s="1167"/>
      <c r="H65" s="1167"/>
    </row>
    <row r="66" spans="1:8">
      <c r="A66" s="33"/>
      <c r="B66" s="1779" t="s">
        <v>1062</v>
      </c>
      <c r="C66" s="36"/>
      <c r="D66" s="1778" t="s">
        <v>1068</v>
      </c>
      <c r="E66" s="34"/>
      <c r="F66" s="460"/>
      <c r="G66" s="1167"/>
      <c r="H66" s="1167"/>
    </row>
    <row r="67" spans="1:8" ht="25.5">
      <c r="A67" s="33"/>
      <c r="B67" s="1779" t="s">
        <v>1063</v>
      </c>
      <c r="C67" s="1776" t="s">
        <v>61</v>
      </c>
      <c r="D67" s="1778" t="s">
        <v>1069</v>
      </c>
      <c r="E67" s="34"/>
      <c r="F67" s="460"/>
      <c r="G67" s="1167"/>
      <c r="H67" s="1167"/>
    </row>
    <row r="68" spans="1:8">
      <c r="A68" s="33"/>
      <c r="B68" s="1779" t="s">
        <v>1064</v>
      </c>
      <c r="C68" s="36"/>
      <c r="D68" s="1778" t="s">
        <v>1072</v>
      </c>
      <c r="E68" s="33"/>
      <c r="F68" s="460"/>
      <c r="G68" s="1167"/>
      <c r="H68" s="1167"/>
    </row>
    <row r="69" spans="1:8">
      <c r="A69" s="33"/>
      <c r="B69" s="1779"/>
      <c r="C69" s="1776" t="s">
        <v>62</v>
      </c>
      <c r="D69" s="1778" t="s">
        <v>1070</v>
      </c>
      <c r="E69" s="33"/>
      <c r="F69" s="460"/>
      <c r="G69" s="1167"/>
      <c r="H69" s="1167"/>
    </row>
    <row r="70" spans="1:8">
      <c r="A70" s="33"/>
      <c r="B70" s="1779"/>
      <c r="C70" s="1776"/>
      <c r="D70" s="1778"/>
      <c r="E70" s="33"/>
      <c r="F70" s="460"/>
      <c r="G70" s="1167"/>
      <c r="H70" s="1167"/>
    </row>
    <row r="71" spans="1:8">
      <c r="A71" s="33"/>
      <c r="B71" s="21" t="s">
        <v>1073</v>
      </c>
      <c r="C71" s="36"/>
      <c r="D71" s="40"/>
      <c r="E71" s="33"/>
      <c r="F71" s="460"/>
      <c r="G71" s="1167"/>
      <c r="H71" s="1167"/>
    </row>
    <row r="72" spans="1:8" ht="38.25">
      <c r="A72" s="33"/>
      <c r="B72" s="38"/>
      <c r="C72" s="36" t="s">
        <v>55</v>
      </c>
      <c r="D72" s="45" t="s">
        <v>72</v>
      </c>
      <c r="E72" s="33"/>
      <c r="F72" s="460"/>
      <c r="G72" s="1167"/>
      <c r="H72" s="1167"/>
    </row>
    <row r="73" spans="1:8" ht="25.5">
      <c r="A73" s="33"/>
      <c r="B73" s="38"/>
      <c r="C73" s="36" t="s">
        <v>57</v>
      </c>
      <c r="D73" s="45" t="s">
        <v>73</v>
      </c>
      <c r="E73" s="33"/>
      <c r="F73" s="460"/>
      <c r="G73" s="1167"/>
      <c r="H73" s="1167"/>
    </row>
    <row r="74" spans="1:8">
      <c r="A74" s="33"/>
      <c r="B74" s="38"/>
      <c r="C74" s="36"/>
      <c r="D74" s="40"/>
      <c r="E74" s="33"/>
      <c r="F74" s="460"/>
      <c r="G74" s="1167"/>
      <c r="H74" s="1167"/>
    </row>
    <row r="75" spans="1:8">
      <c r="A75" s="33"/>
      <c r="B75" s="1861" t="s">
        <v>1074</v>
      </c>
      <c r="C75" s="1861"/>
      <c r="D75" s="1861"/>
      <c r="E75" s="33"/>
      <c r="F75" s="460"/>
      <c r="G75" s="1167"/>
      <c r="H75" s="1167"/>
    </row>
    <row r="76" spans="1:8" ht="25.5">
      <c r="A76" s="33"/>
      <c r="B76" s="38"/>
      <c r="C76" s="36" t="s">
        <v>55</v>
      </c>
      <c r="D76" s="1778" t="s">
        <v>1075</v>
      </c>
      <c r="E76" s="33"/>
      <c r="F76" s="460"/>
      <c r="G76" s="1167"/>
      <c r="H76" s="1167"/>
    </row>
    <row r="77" spans="1:8">
      <c r="A77" s="33"/>
      <c r="B77" s="38"/>
      <c r="C77" s="1776" t="s">
        <v>57</v>
      </c>
      <c r="D77" s="40" t="s">
        <v>74</v>
      </c>
      <c r="E77" s="33"/>
      <c r="F77" s="460"/>
      <c r="G77" s="1167"/>
      <c r="H77" s="1167"/>
    </row>
    <row r="78" spans="1:8" ht="25.5">
      <c r="A78" s="33"/>
      <c r="B78" s="38"/>
      <c r="C78" s="1776" t="s">
        <v>59</v>
      </c>
      <c r="D78" s="40" t="s">
        <v>75</v>
      </c>
      <c r="E78" s="33"/>
      <c r="F78" s="460"/>
      <c r="G78" s="1167"/>
      <c r="H78" s="1167"/>
    </row>
    <row r="79" spans="1:8">
      <c r="A79" s="33"/>
      <c r="B79" s="38"/>
      <c r="C79" s="1776" t="s">
        <v>61</v>
      </c>
      <c r="D79" s="40" t="s">
        <v>76</v>
      </c>
      <c r="E79" s="33"/>
      <c r="F79" s="460"/>
      <c r="G79" s="1167"/>
      <c r="H79" s="1167"/>
    </row>
    <row r="80" spans="1:8">
      <c r="A80" s="33"/>
      <c r="B80" s="38"/>
      <c r="C80" s="1776"/>
      <c r="D80" s="40"/>
      <c r="E80" s="33"/>
      <c r="F80" s="460"/>
      <c r="G80" s="1167"/>
      <c r="H80" s="1167"/>
    </row>
    <row r="81" spans="1:8">
      <c r="A81" s="33"/>
      <c r="B81" s="1780" t="s">
        <v>1049</v>
      </c>
      <c r="C81" s="1776"/>
      <c r="D81" s="40"/>
      <c r="E81" s="33"/>
      <c r="F81" s="460"/>
      <c r="G81" s="1167"/>
      <c r="H81" s="1167"/>
    </row>
    <row r="82" spans="1:8">
      <c r="A82" s="33"/>
      <c r="B82" s="1779"/>
      <c r="C82" s="1776" t="s">
        <v>55</v>
      </c>
      <c r="D82" s="1778" t="s">
        <v>1076</v>
      </c>
      <c r="E82" s="33"/>
      <c r="F82" s="460"/>
      <c r="G82" s="1167"/>
      <c r="H82" s="1167"/>
    </row>
    <row r="83" spans="1:8">
      <c r="A83" s="33"/>
      <c r="B83" s="1779"/>
      <c r="C83" s="1776" t="s">
        <v>57</v>
      </c>
      <c r="D83" s="1778" t="s">
        <v>1077</v>
      </c>
      <c r="E83" s="33"/>
      <c r="F83" s="460"/>
      <c r="G83" s="1167"/>
      <c r="H83" s="1167"/>
    </row>
    <row r="84" spans="1:8">
      <c r="A84" s="33"/>
      <c r="B84" s="1779"/>
      <c r="C84" s="1776" t="s">
        <v>59</v>
      </c>
      <c r="D84" s="1778" t="s">
        <v>1078</v>
      </c>
      <c r="E84" s="33"/>
      <c r="F84" s="460"/>
      <c r="G84" s="1167"/>
      <c r="H84" s="1167"/>
    </row>
    <row r="85" spans="1:8">
      <c r="A85" s="33"/>
      <c r="B85" s="1779"/>
      <c r="C85" s="1776" t="s">
        <v>61</v>
      </c>
      <c r="D85" s="1778" t="s">
        <v>1079</v>
      </c>
      <c r="E85" s="33"/>
      <c r="F85" s="460"/>
      <c r="G85" s="1167"/>
      <c r="H85" s="1167"/>
    </row>
    <row r="86" spans="1:8">
      <c r="A86" s="33"/>
      <c r="B86" s="1779"/>
      <c r="C86" s="1776" t="s">
        <v>62</v>
      </c>
      <c r="D86" s="1778" t="s">
        <v>1080</v>
      </c>
      <c r="E86" s="33"/>
      <c r="F86" s="460"/>
      <c r="G86" s="1167"/>
      <c r="H86" s="1167"/>
    </row>
    <row r="87" spans="1:8">
      <c r="A87" s="33"/>
      <c r="B87" s="38"/>
      <c r="C87" s="36"/>
      <c r="D87" s="40"/>
      <c r="E87" s="33"/>
      <c r="F87" s="460"/>
      <c r="G87" s="1167"/>
      <c r="H87" s="1167"/>
    </row>
    <row r="88" spans="1:8">
      <c r="A88" s="33"/>
      <c r="B88" s="21" t="s">
        <v>1034</v>
      </c>
      <c r="C88" s="36"/>
      <c r="D88" s="40"/>
      <c r="E88" s="33"/>
      <c r="F88" s="460"/>
      <c r="G88" s="1167"/>
      <c r="H88" s="1167"/>
    </row>
    <row r="89" spans="1:8">
      <c r="A89" s="33"/>
      <c r="B89" s="38"/>
      <c r="C89" s="36" t="s">
        <v>55</v>
      </c>
      <c r="D89" s="1778" t="s">
        <v>1116</v>
      </c>
      <c r="E89" s="33"/>
      <c r="F89" s="460"/>
      <c r="G89" s="1167"/>
      <c r="H89" s="1167"/>
    </row>
    <row r="90" spans="1:8">
      <c r="A90" s="33"/>
      <c r="B90" s="38"/>
      <c r="C90" s="36" t="s">
        <v>57</v>
      </c>
      <c r="D90" s="1778" t="s">
        <v>1083</v>
      </c>
      <c r="E90" s="33"/>
      <c r="F90" s="460"/>
      <c r="G90" s="1167"/>
      <c r="H90" s="1167"/>
    </row>
    <row r="91" spans="1:8" ht="13.5" customHeight="1">
      <c r="A91" s="33"/>
      <c r="B91" s="38"/>
      <c r="C91" s="36" t="s">
        <v>59</v>
      </c>
      <c r="D91" s="1778" t="s">
        <v>1084</v>
      </c>
      <c r="E91" s="33"/>
      <c r="F91" s="460"/>
      <c r="G91" s="1167"/>
      <c r="H91" s="1167"/>
    </row>
    <row r="92" spans="1:8" ht="13.5" customHeight="1">
      <c r="A92" s="33"/>
      <c r="B92" s="38"/>
      <c r="C92" s="36"/>
      <c r="D92" s="40" t="s">
        <v>77</v>
      </c>
      <c r="E92" s="33"/>
      <c r="F92" s="460"/>
      <c r="G92" s="1167"/>
      <c r="H92" s="1167"/>
    </row>
    <row r="93" spans="1:8">
      <c r="A93" s="33"/>
      <c r="B93" s="38"/>
      <c r="C93" s="36"/>
      <c r="D93" s="40"/>
      <c r="E93" s="33"/>
      <c r="F93" s="460"/>
      <c r="G93" s="1167"/>
      <c r="H93" s="1167"/>
    </row>
    <row r="94" spans="1:8">
      <c r="A94" s="33"/>
      <c r="B94" s="1862" t="s">
        <v>78</v>
      </c>
      <c r="C94" s="1863"/>
      <c r="D94" s="1863"/>
      <c r="E94" s="33"/>
      <c r="F94" s="460"/>
      <c r="G94" s="1167"/>
      <c r="H94" s="1167"/>
    </row>
    <row r="95" spans="1:8">
      <c r="A95" s="33"/>
      <c r="B95" s="38"/>
      <c r="C95" s="36" t="s">
        <v>55</v>
      </c>
      <c r="D95" s="40" t="s">
        <v>79</v>
      </c>
      <c r="E95" s="33"/>
      <c r="F95" s="460"/>
      <c r="G95" s="1167"/>
      <c r="H95" s="1167"/>
    </row>
    <row r="96" spans="1:8" ht="25.5">
      <c r="A96" s="33"/>
      <c r="B96" s="38"/>
      <c r="C96" s="36" t="s">
        <v>57</v>
      </c>
      <c r="D96" s="40" t="s">
        <v>80</v>
      </c>
      <c r="E96" s="33"/>
      <c r="F96" s="460"/>
      <c r="G96" s="1167"/>
      <c r="H96" s="1167"/>
    </row>
    <row r="97" spans="1:8">
      <c r="A97" s="33"/>
      <c r="B97" s="38"/>
      <c r="C97" s="36" t="s">
        <v>59</v>
      </c>
      <c r="D97" s="40" t="s">
        <v>81</v>
      </c>
      <c r="E97" s="33"/>
      <c r="F97" s="460"/>
      <c r="G97" s="1167"/>
      <c r="H97" s="1167"/>
    </row>
    <row r="98" spans="1:8" ht="25.5">
      <c r="A98" s="33"/>
      <c r="B98" s="38"/>
      <c r="C98" s="36" t="s">
        <v>61</v>
      </c>
      <c r="D98" s="40" t="s">
        <v>82</v>
      </c>
      <c r="E98" s="33"/>
      <c r="F98" s="460"/>
      <c r="G98" s="1167"/>
      <c r="H98" s="1167"/>
    </row>
    <row r="99" spans="1:8">
      <c r="A99" s="33"/>
      <c r="B99" s="38"/>
      <c r="C99" s="36" t="s">
        <v>62</v>
      </c>
      <c r="D99" s="40" t="s">
        <v>76</v>
      </c>
      <c r="E99" s="33"/>
      <c r="F99" s="460"/>
      <c r="G99" s="1167"/>
      <c r="H99" s="1167"/>
    </row>
    <row r="100" spans="1:8">
      <c r="A100" s="33"/>
      <c r="B100" s="38"/>
      <c r="C100" s="38"/>
      <c r="D100" s="46" t="s">
        <v>67</v>
      </c>
      <c r="E100" s="33"/>
      <c r="F100" s="460"/>
      <c r="G100" s="1167"/>
      <c r="H100" s="1167"/>
    </row>
    <row r="101" spans="1:8">
      <c r="A101" s="33"/>
      <c r="B101" s="1862" t="s">
        <v>83</v>
      </c>
      <c r="C101" s="1863"/>
      <c r="D101" s="1863"/>
      <c r="E101" s="33"/>
      <c r="F101" s="460"/>
      <c r="G101" s="1167"/>
      <c r="H101" s="1167"/>
    </row>
    <row r="102" spans="1:8" ht="25.5">
      <c r="A102" s="33"/>
      <c r="B102" s="38"/>
      <c r="C102" s="36" t="s">
        <v>55</v>
      </c>
      <c r="D102" s="1778" t="s">
        <v>1085</v>
      </c>
      <c r="E102" s="33"/>
      <c r="F102" s="460"/>
      <c r="G102" s="1167"/>
      <c r="H102" s="1167"/>
    </row>
    <row r="103" spans="1:8">
      <c r="A103" s="33"/>
      <c r="B103" s="38"/>
      <c r="C103" s="36"/>
      <c r="D103" s="47" t="s">
        <v>84</v>
      </c>
      <c r="E103" s="33"/>
      <c r="F103" s="460"/>
      <c r="G103" s="1167"/>
      <c r="H103" s="1167"/>
    </row>
    <row r="104" spans="1:8">
      <c r="A104" s="33"/>
      <c r="B104" s="38"/>
      <c r="C104" s="36"/>
      <c r="D104" s="47" t="s">
        <v>85</v>
      </c>
      <c r="E104" s="33"/>
      <c r="F104" s="460"/>
      <c r="G104" s="1167"/>
      <c r="H104" s="1167"/>
    </row>
    <row r="105" spans="1:8" ht="25.5">
      <c r="A105" s="33"/>
      <c r="B105" s="38"/>
      <c r="C105" s="36" t="s">
        <v>57</v>
      </c>
      <c r="D105" s="1778" t="s">
        <v>1086</v>
      </c>
      <c r="E105" s="33"/>
      <c r="F105" s="460"/>
      <c r="G105" s="1167"/>
      <c r="H105" s="1167"/>
    </row>
    <row r="106" spans="1:8">
      <c r="A106" s="33"/>
      <c r="B106" s="38"/>
      <c r="C106" s="36"/>
      <c r="D106" s="1781" t="s">
        <v>1087</v>
      </c>
      <c r="E106" s="33"/>
      <c r="F106" s="460"/>
      <c r="G106" s="1167"/>
      <c r="H106" s="1167"/>
    </row>
    <row r="107" spans="1:8">
      <c r="A107" s="33"/>
      <c r="B107" s="38"/>
      <c r="C107" s="36" t="s">
        <v>59</v>
      </c>
      <c r="D107" s="1778" t="s">
        <v>1088</v>
      </c>
      <c r="E107" s="33"/>
      <c r="F107" s="460"/>
      <c r="G107" s="1167"/>
      <c r="H107" s="1167"/>
    </row>
    <row r="108" spans="1:8">
      <c r="A108" s="33"/>
      <c r="B108" s="38"/>
      <c r="C108" s="36" t="s">
        <v>61</v>
      </c>
      <c r="D108" s="40" t="s">
        <v>76</v>
      </c>
      <c r="E108" s="33"/>
      <c r="F108" s="460"/>
      <c r="G108" s="1167"/>
      <c r="H108" s="1167"/>
    </row>
    <row r="109" spans="1:8">
      <c r="A109" s="33"/>
      <c r="B109" s="38"/>
      <c r="C109" s="38"/>
      <c r="D109" s="46" t="s">
        <v>67</v>
      </c>
      <c r="E109" s="33"/>
      <c r="F109" s="460"/>
      <c r="G109" s="1167"/>
      <c r="H109" s="1167"/>
    </row>
    <row r="110" spans="1:8">
      <c r="A110" s="33"/>
      <c r="B110" s="1862" t="s">
        <v>86</v>
      </c>
      <c r="C110" s="1863"/>
      <c r="D110" s="1863"/>
      <c r="E110" s="33"/>
      <c r="F110" s="460"/>
      <c r="G110" s="1167"/>
      <c r="H110" s="1167"/>
    </row>
    <row r="111" spans="1:8">
      <c r="A111" s="33"/>
      <c r="B111" s="38"/>
      <c r="C111" s="36" t="s">
        <v>55</v>
      </c>
      <c r="D111" s="48" t="s">
        <v>87</v>
      </c>
      <c r="E111" s="33"/>
      <c r="F111" s="460"/>
      <c r="G111" s="1167"/>
      <c r="H111" s="1167"/>
    </row>
    <row r="112" spans="1:8">
      <c r="A112" s="33"/>
      <c r="B112" s="38"/>
      <c r="C112" s="36" t="s">
        <v>57</v>
      </c>
      <c r="D112" s="48" t="s">
        <v>88</v>
      </c>
      <c r="E112" s="33"/>
      <c r="F112" s="460"/>
      <c r="G112" s="1167"/>
      <c r="H112" s="1167"/>
    </row>
    <row r="113" spans="1:8">
      <c r="A113" s="33"/>
      <c r="B113" s="38"/>
      <c r="C113" s="1776" t="s">
        <v>59</v>
      </c>
      <c r="D113" s="48" t="s">
        <v>89</v>
      </c>
      <c r="E113" s="33"/>
      <c r="F113" s="460"/>
      <c r="G113" s="1167"/>
      <c r="H113" s="1167"/>
    </row>
    <row r="114" spans="1:8" ht="25.5">
      <c r="A114" s="33"/>
      <c r="B114" s="38"/>
      <c r="C114" s="1776" t="s">
        <v>61</v>
      </c>
      <c r="D114" s="48" t="s">
        <v>90</v>
      </c>
      <c r="E114" s="33"/>
      <c r="F114" s="460"/>
      <c r="G114" s="1167"/>
      <c r="H114" s="1167"/>
    </row>
    <row r="115" spans="1:8">
      <c r="A115" s="33"/>
      <c r="B115" s="38"/>
      <c r="C115" s="1776" t="s">
        <v>62</v>
      </c>
      <c r="D115" s="48" t="s">
        <v>91</v>
      </c>
      <c r="E115" s="33"/>
      <c r="F115" s="460"/>
      <c r="G115" s="1167"/>
      <c r="H115" s="1167"/>
    </row>
    <row r="116" spans="1:8">
      <c r="A116" s="33"/>
      <c r="B116" s="38"/>
      <c r="C116" s="1776" t="s">
        <v>70</v>
      </c>
      <c r="D116" s="48" t="s">
        <v>92</v>
      </c>
      <c r="E116" s="33"/>
      <c r="F116" s="460"/>
      <c r="G116" s="1167"/>
      <c r="H116" s="1167"/>
    </row>
    <row r="117" spans="1:8">
      <c r="A117" s="33"/>
      <c r="B117" s="38"/>
      <c r="C117" s="1776" t="s">
        <v>71</v>
      </c>
      <c r="D117" s="48" t="s">
        <v>76</v>
      </c>
      <c r="E117" s="33"/>
      <c r="F117" s="460"/>
      <c r="G117" s="1167"/>
      <c r="H117" s="1167"/>
    </row>
    <row r="118" spans="1:8">
      <c r="A118" s="33"/>
      <c r="B118" s="38"/>
      <c r="C118" s="38"/>
      <c r="D118" s="46" t="s">
        <v>67</v>
      </c>
      <c r="E118" s="33"/>
      <c r="F118" s="460"/>
      <c r="G118" s="1167"/>
      <c r="H118" s="1167"/>
    </row>
    <row r="119" spans="1:8">
      <c r="A119" s="33"/>
      <c r="B119" s="1862" t="s">
        <v>94</v>
      </c>
      <c r="C119" s="1863"/>
      <c r="D119" s="1863"/>
      <c r="E119" s="33"/>
      <c r="F119" s="460"/>
      <c r="G119" s="1167"/>
      <c r="H119" s="1167"/>
    </row>
    <row r="120" spans="1:8" ht="25.5">
      <c r="A120" s="33"/>
      <c r="B120" s="38"/>
      <c r="C120" s="36" t="s">
        <v>55</v>
      </c>
      <c r="D120" s="40" t="s">
        <v>95</v>
      </c>
      <c r="E120" s="33"/>
      <c r="F120" s="460"/>
      <c r="G120" s="1167"/>
      <c r="H120" s="1167"/>
    </row>
    <row r="121" spans="1:8">
      <c r="A121" s="33"/>
      <c r="B121" s="38"/>
      <c r="C121" s="36" t="s">
        <v>57</v>
      </c>
      <c r="D121" s="40" t="s">
        <v>96</v>
      </c>
      <c r="E121" s="33"/>
      <c r="F121" s="460"/>
      <c r="G121" s="1167"/>
      <c r="H121" s="1167"/>
    </row>
    <row r="122" spans="1:8">
      <c r="A122" s="33"/>
      <c r="B122" s="38"/>
      <c r="C122" s="36" t="s">
        <v>59</v>
      </c>
      <c r="D122" s="40" t="s">
        <v>76</v>
      </c>
      <c r="E122" s="33"/>
      <c r="F122" s="460"/>
      <c r="G122" s="1167"/>
      <c r="H122" s="1167"/>
    </row>
    <row r="123" spans="1:8">
      <c r="A123" s="33"/>
      <c r="B123" s="38"/>
      <c r="C123" s="38"/>
      <c r="D123" s="46" t="s">
        <v>67</v>
      </c>
      <c r="E123" s="33"/>
      <c r="F123" s="460"/>
      <c r="G123" s="1167"/>
      <c r="H123" s="1167"/>
    </row>
    <row r="124" spans="1:8">
      <c r="A124" s="33"/>
      <c r="B124" s="1862" t="s">
        <v>46</v>
      </c>
      <c r="C124" s="1863"/>
      <c r="D124" s="1863"/>
      <c r="E124" s="33"/>
      <c r="F124" s="460"/>
      <c r="G124" s="1167"/>
      <c r="H124" s="1167"/>
    </row>
    <row r="125" spans="1:8" ht="25.5">
      <c r="A125" s="33"/>
      <c r="B125" s="38"/>
      <c r="C125" s="36" t="s">
        <v>55</v>
      </c>
      <c r="D125" s="40" t="s">
        <v>97</v>
      </c>
      <c r="E125" s="33"/>
      <c r="F125" s="460"/>
      <c r="G125" s="1167"/>
      <c r="H125" s="1167"/>
    </row>
    <row r="126" spans="1:8" ht="38.25">
      <c r="A126" s="33"/>
      <c r="B126" s="38"/>
      <c r="C126" s="36" t="s">
        <v>57</v>
      </c>
      <c r="D126" s="40" t="s">
        <v>98</v>
      </c>
      <c r="E126" s="33"/>
      <c r="F126" s="460"/>
      <c r="G126" s="1167"/>
      <c r="H126" s="1167"/>
    </row>
    <row r="127" spans="1:8">
      <c r="A127" s="33"/>
      <c r="B127" s="38"/>
      <c r="C127" s="36"/>
      <c r="D127" s="47" t="s">
        <v>99</v>
      </c>
      <c r="E127" s="33"/>
      <c r="F127" s="460"/>
      <c r="G127" s="1167"/>
      <c r="H127" s="1167"/>
    </row>
    <row r="128" spans="1:8" ht="25.5">
      <c r="A128" s="33"/>
      <c r="B128" s="38"/>
      <c r="C128" s="36"/>
      <c r="D128" s="47" t="s">
        <v>100</v>
      </c>
      <c r="E128" s="33"/>
      <c r="F128" s="460"/>
      <c r="G128" s="1167"/>
      <c r="H128" s="1167"/>
    </row>
    <row r="129" spans="1:8">
      <c r="A129" s="33"/>
      <c r="B129" s="38"/>
      <c r="C129" s="36" t="s">
        <v>59</v>
      </c>
      <c r="D129" s="40" t="s">
        <v>101</v>
      </c>
      <c r="E129" s="33"/>
      <c r="F129" s="460"/>
      <c r="G129" s="1167"/>
      <c r="H129" s="1167"/>
    </row>
    <row r="130" spans="1:8">
      <c r="A130" s="33"/>
      <c r="B130" s="38"/>
      <c r="C130" s="38"/>
      <c r="D130" s="46" t="s">
        <v>67</v>
      </c>
      <c r="E130" s="33"/>
      <c r="F130" s="460"/>
      <c r="G130" s="1167"/>
      <c r="H130" s="1167"/>
    </row>
    <row r="131" spans="1:8">
      <c r="A131" s="33"/>
      <c r="B131" s="1861" t="s">
        <v>1081</v>
      </c>
      <c r="C131" s="1861"/>
      <c r="D131" s="1861"/>
      <c r="E131" s="33"/>
      <c r="F131" s="460"/>
      <c r="G131" s="1167"/>
      <c r="H131" s="1167"/>
    </row>
    <row r="132" spans="1:8">
      <c r="A132" s="33"/>
      <c r="B132" s="38"/>
      <c r="C132" s="49" t="s">
        <v>55</v>
      </c>
      <c r="D132" s="1778" t="s">
        <v>1089</v>
      </c>
      <c r="E132" s="33"/>
      <c r="F132" s="460"/>
      <c r="G132" s="1167"/>
      <c r="H132" s="1167"/>
    </row>
    <row r="133" spans="1:8" ht="25.5">
      <c r="A133" s="33"/>
      <c r="B133" s="38"/>
      <c r="C133" s="49" t="s">
        <v>57</v>
      </c>
      <c r="D133" s="40" t="s">
        <v>102</v>
      </c>
      <c r="E133" s="33"/>
      <c r="F133" s="460"/>
      <c r="G133" s="1167"/>
      <c r="H133" s="1167"/>
    </row>
    <row r="134" spans="1:8">
      <c r="A134" s="33"/>
      <c r="B134" s="38"/>
      <c r="C134" s="49" t="s">
        <v>59</v>
      </c>
      <c r="D134" s="40" t="s">
        <v>76</v>
      </c>
      <c r="E134" s="33"/>
      <c r="F134" s="460"/>
      <c r="G134" s="1167"/>
      <c r="H134" s="1167"/>
    </row>
    <row r="135" spans="1:8">
      <c r="A135" s="33"/>
      <c r="B135" s="38"/>
      <c r="C135" s="38"/>
      <c r="D135" s="46" t="s">
        <v>67</v>
      </c>
      <c r="E135" s="33"/>
      <c r="F135" s="460"/>
      <c r="G135" s="1167"/>
      <c r="H135" s="1167"/>
    </row>
    <row r="136" spans="1:8">
      <c r="A136" s="33"/>
      <c r="B136" s="1862" t="s">
        <v>47</v>
      </c>
      <c r="C136" s="1863"/>
      <c r="D136" s="1863"/>
      <c r="E136" s="33"/>
      <c r="F136" s="460"/>
      <c r="G136" s="1167"/>
      <c r="H136" s="1167"/>
    </row>
    <row r="137" spans="1:8" ht="25.5">
      <c r="A137" s="33"/>
      <c r="B137" s="38"/>
      <c r="C137" s="36" t="s">
        <v>55</v>
      </c>
      <c r="D137" s="40" t="s">
        <v>103</v>
      </c>
      <c r="E137" s="33"/>
      <c r="F137" s="460"/>
      <c r="G137" s="1167"/>
      <c r="H137" s="1167"/>
    </row>
    <row r="138" spans="1:8" ht="25.5">
      <c r="A138" s="33"/>
      <c r="B138" s="38"/>
      <c r="C138" s="36" t="s">
        <v>57</v>
      </c>
      <c r="D138" s="40" t="s">
        <v>104</v>
      </c>
      <c r="E138" s="33"/>
      <c r="F138" s="460"/>
      <c r="G138" s="1167"/>
      <c r="H138" s="1167"/>
    </row>
    <row r="139" spans="1:8" ht="25.5">
      <c r="A139" s="33"/>
      <c r="B139" s="38"/>
      <c r="C139" s="36" t="s">
        <v>59</v>
      </c>
      <c r="D139" s="40" t="s">
        <v>105</v>
      </c>
      <c r="E139" s="33"/>
      <c r="F139" s="460"/>
      <c r="G139" s="1167"/>
      <c r="H139" s="1167"/>
    </row>
    <row r="140" spans="1:8" ht="38.25">
      <c r="A140" s="33"/>
      <c r="B140" s="38"/>
      <c r="C140" s="36" t="s">
        <v>61</v>
      </c>
      <c r="D140" s="40" t="s">
        <v>106</v>
      </c>
      <c r="E140" s="33"/>
      <c r="F140" s="460"/>
      <c r="G140" s="1167"/>
      <c r="H140" s="1167"/>
    </row>
    <row r="141" spans="1:8" ht="25.5">
      <c r="A141" s="33"/>
      <c r="B141" s="38"/>
      <c r="C141" s="36" t="s">
        <v>62</v>
      </c>
      <c r="D141" s="1778" t="s">
        <v>1090</v>
      </c>
      <c r="E141" s="33"/>
      <c r="F141" s="460"/>
      <c r="G141" s="1167"/>
      <c r="H141" s="1167"/>
    </row>
    <row r="142" spans="1:8">
      <c r="A142" s="33"/>
      <c r="B142" s="38"/>
      <c r="C142" s="36" t="s">
        <v>70</v>
      </c>
      <c r="D142" s="40" t="s">
        <v>101</v>
      </c>
      <c r="E142" s="33"/>
      <c r="F142" s="460"/>
      <c r="G142" s="1167"/>
      <c r="H142" s="1167"/>
    </row>
    <row r="143" spans="1:8">
      <c r="A143" s="33"/>
      <c r="B143" s="38"/>
      <c r="C143" s="38"/>
      <c r="D143" s="46" t="s">
        <v>67</v>
      </c>
      <c r="E143" s="33"/>
      <c r="F143" s="460"/>
      <c r="G143" s="1167"/>
      <c r="H143" s="1167"/>
    </row>
    <row r="144" spans="1:8">
      <c r="A144" s="33"/>
      <c r="B144" s="1861" t="s">
        <v>1091</v>
      </c>
      <c r="C144" s="1861"/>
      <c r="D144" s="1861"/>
      <c r="E144" s="33"/>
      <c r="F144" s="460"/>
      <c r="G144" s="1167"/>
      <c r="H144" s="1167"/>
    </row>
    <row r="145" spans="1:8">
      <c r="A145" s="33"/>
      <c r="B145" s="38"/>
      <c r="C145" s="36" t="s">
        <v>55</v>
      </c>
      <c r="D145" s="1778" t="s">
        <v>1092</v>
      </c>
      <c r="E145" s="33"/>
      <c r="F145" s="460"/>
      <c r="G145" s="1167"/>
      <c r="H145" s="1167"/>
    </row>
    <row r="146" spans="1:8" ht="38.25">
      <c r="A146" s="33"/>
      <c r="B146" s="38"/>
      <c r="C146" s="36" t="s">
        <v>57</v>
      </c>
      <c r="D146" s="40" t="s">
        <v>107</v>
      </c>
      <c r="E146" s="33"/>
      <c r="F146" s="460"/>
      <c r="G146" s="1167"/>
      <c r="H146" s="1167"/>
    </row>
    <row r="147" spans="1:8" ht="38.25">
      <c r="A147" s="33"/>
      <c r="B147" s="38"/>
      <c r="C147" s="36" t="s">
        <v>59</v>
      </c>
      <c r="D147" s="40" t="s">
        <v>108</v>
      </c>
      <c r="E147" s="33"/>
      <c r="F147" s="460"/>
      <c r="G147" s="1167"/>
      <c r="H147" s="1167"/>
    </row>
    <row r="148" spans="1:8" ht="25.5">
      <c r="A148" s="33"/>
      <c r="B148" s="38"/>
      <c r="C148" s="36" t="s">
        <v>61</v>
      </c>
      <c r="D148" s="40" t="s">
        <v>109</v>
      </c>
      <c r="E148" s="33"/>
      <c r="F148" s="460"/>
      <c r="G148" s="1167"/>
      <c r="H148" s="1167"/>
    </row>
    <row r="149" spans="1:8" ht="38.25">
      <c r="A149" s="33"/>
      <c r="B149" s="38"/>
      <c r="C149" s="36" t="s">
        <v>62</v>
      </c>
      <c r="D149" s="40" t="s">
        <v>110</v>
      </c>
      <c r="E149" s="33"/>
      <c r="F149" s="460"/>
      <c r="G149" s="1167"/>
      <c r="H149" s="1167"/>
    </row>
    <row r="150" spans="1:8">
      <c r="A150" s="33"/>
      <c r="B150" s="38"/>
      <c r="C150" s="36" t="s">
        <v>70</v>
      </c>
      <c r="D150" s="40" t="s">
        <v>111</v>
      </c>
      <c r="E150" s="33"/>
      <c r="F150" s="460"/>
      <c r="G150" s="1167"/>
      <c r="H150" s="1167"/>
    </row>
    <row r="151" spans="1:8">
      <c r="A151" s="33"/>
      <c r="B151" s="38"/>
      <c r="C151" s="36" t="s">
        <v>71</v>
      </c>
      <c r="D151" s="40" t="s">
        <v>112</v>
      </c>
      <c r="E151" s="33"/>
      <c r="F151" s="460"/>
      <c r="G151" s="1167"/>
      <c r="H151" s="1167"/>
    </row>
    <row r="152" spans="1:8">
      <c r="A152" s="33"/>
      <c r="B152" s="38"/>
      <c r="C152" s="36" t="s">
        <v>93</v>
      </c>
      <c r="D152" s="40" t="s">
        <v>101</v>
      </c>
      <c r="E152" s="33"/>
      <c r="F152" s="460"/>
      <c r="G152" s="1167"/>
      <c r="H152" s="1167"/>
    </row>
    <row r="153" spans="1:8">
      <c r="A153" s="33"/>
      <c r="B153" s="38"/>
      <c r="C153" s="36"/>
      <c r="D153" s="40"/>
      <c r="E153" s="33"/>
      <c r="F153" s="460"/>
      <c r="G153" s="1167"/>
      <c r="H153" s="1167"/>
    </row>
    <row r="154" spans="1:8">
      <c r="A154" s="33"/>
      <c r="B154" s="1861" t="s">
        <v>1093</v>
      </c>
      <c r="C154" s="1861"/>
      <c r="D154" s="1861"/>
      <c r="E154" s="33"/>
      <c r="F154" s="460"/>
      <c r="G154" s="1167"/>
      <c r="H154" s="1167"/>
    </row>
    <row r="155" spans="1:8">
      <c r="A155" s="33"/>
      <c r="B155" s="38"/>
      <c r="C155" s="36" t="s">
        <v>55</v>
      </c>
      <c r="D155" s="1778" t="s">
        <v>1092</v>
      </c>
      <c r="E155" s="33"/>
      <c r="F155" s="460"/>
      <c r="G155" s="1167"/>
      <c r="H155" s="1167"/>
    </row>
    <row r="156" spans="1:8">
      <c r="A156" s="33"/>
      <c r="B156" s="38"/>
      <c r="C156" s="36" t="s">
        <v>57</v>
      </c>
      <c r="D156" s="40" t="s">
        <v>113</v>
      </c>
      <c r="E156" s="33"/>
      <c r="F156" s="460"/>
      <c r="G156" s="1167"/>
      <c r="H156" s="1167"/>
    </row>
    <row r="157" spans="1:8">
      <c r="A157" s="33"/>
      <c r="B157" s="38"/>
      <c r="C157" s="36" t="s">
        <v>59</v>
      </c>
      <c r="D157" s="40" t="s">
        <v>114</v>
      </c>
      <c r="E157" s="33"/>
      <c r="F157" s="460"/>
      <c r="G157" s="1167"/>
      <c r="H157" s="1167"/>
    </row>
    <row r="158" spans="1:8">
      <c r="A158" s="33"/>
      <c r="B158" s="38"/>
      <c r="C158" s="36" t="s">
        <v>61</v>
      </c>
      <c r="D158" s="40" t="s">
        <v>111</v>
      </c>
      <c r="E158" s="33"/>
      <c r="F158" s="460"/>
      <c r="G158" s="1167"/>
      <c r="H158" s="1167"/>
    </row>
    <row r="159" spans="1:8">
      <c r="A159" s="33"/>
      <c r="B159" s="38"/>
      <c r="C159" s="36" t="s">
        <v>62</v>
      </c>
      <c r="D159" s="40" t="s">
        <v>101</v>
      </c>
      <c r="E159" s="33"/>
      <c r="F159" s="460"/>
      <c r="G159" s="1167"/>
      <c r="H159" s="1167"/>
    </row>
    <row r="160" spans="1:8">
      <c r="A160" s="33"/>
      <c r="B160" s="38"/>
      <c r="C160" s="36"/>
      <c r="D160" s="40"/>
      <c r="E160" s="33"/>
      <c r="F160" s="460"/>
      <c r="G160" s="1167"/>
      <c r="H160" s="1167"/>
    </row>
    <row r="161" spans="1:8">
      <c r="A161" s="33"/>
      <c r="B161" s="1862" t="s">
        <v>49</v>
      </c>
      <c r="C161" s="1862"/>
      <c r="D161" s="1862"/>
      <c r="E161" s="33"/>
      <c r="F161" s="460"/>
      <c r="G161" s="1167"/>
      <c r="H161" s="1167"/>
    </row>
    <row r="162" spans="1:8" ht="25.5">
      <c r="A162" s="33"/>
      <c r="B162" s="38"/>
      <c r="C162" s="36" t="s">
        <v>55</v>
      </c>
      <c r="D162" s="40" t="s">
        <v>115</v>
      </c>
      <c r="E162" s="33"/>
      <c r="F162" s="460"/>
      <c r="G162" s="1167"/>
      <c r="H162" s="1167"/>
    </row>
    <row r="163" spans="1:8" ht="25.5">
      <c r="A163" s="33"/>
      <c r="B163" s="38"/>
      <c r="C163" s="36" t="s">
        <v>57</v>
      </c>
      <c r="D163" s="40" t="s">
        <v>116</v>
      </c>
      <c r="E163" s="33"/>
      <c r="F163" s="460"/>
      <c r="G163" s="1167"/>
      <c r="H163" s="1167"/>
    </row>
    <row r="164" spans="1:8" ht="25.5">
      <c r="A164" s="33"/>
      <c r="B164" s="38"/>
      <c r="C164" s="36" t="s">
        <v>59</v>
      </c>
      <c r="D164" s="40" t="s">
        <v>117</v>
      </c>
      <c r="E164" s="33"/>
      <c r="F164" s="460"/>
      <c r="G164" s="1167"/>
      <c r="H164" s="1167"/>
    </row>
    <row r="165" spans="1:8" ht="25.5">
      <c r="A165" s="33"/>
      <c r="B165" s="38"/>
      <c r="C165" s="36" t="s">
        <v>61</v>
      </c>
      <c r="D165" s="1778" t="s">
        <v>1094</v>
      </c>
      <c r="E165" s="33"/>
      <c r="F165" s="460"/>
      <c r="G165" s="1167"/>
      <c r="H165" s="1167"/>
    </row>
    <row r="166" spans="1:8" ht="25.5">
      <c r="A166" s="33"/>
      <c r="B166" s="38"/>
      <c r="C166" s="36" t="s">
        <v>62</v>
      </c>
      <c r="D166" s="40" t="s">
        <v>118</v>
      </c>
      <c r="E166" s="33"/>
      <c r="F166" s="460"/>
      <c r="G166" s="1167"/>
      <c r="H166" s="1167"/>
    </row>
    <row r="167" spans="1:8">
      <c r="A167" s="33"/>
      <c r="B167" s="38"/>
      <c r="C167" s="36" t="s">
        <v>70</v>
      </c>
      <c r="D167" s="40" t="s">
        <v>101</v>
      </c>
      <c r="E167" s="33"/>
      <c r="F167" s="460"/>
      <c r="G167" s="1167"/>
      <c r="H167" s="1167"/>
    </row>
    <row r="168" spans="1:8">
      <c r="A168" s="33"/>
      <c r="B168" s="38"/>
      <c r="C168" s="38"/>
      <c r="D168" s="46" t="s">
        <v>67</v>
      </c>
      <c r="E168" s="33"/>
      <c r="F168" s="460"/>
      <c r="G168" s="1167"/>
      <c r="H168" s="1167"/>
    </row>
    <row r="169" spans="1:8">
      <c r="A169" s="33"/>
      <c r="B169" s="1861" t="s">
        <v>1082</v>
      </c>
      <c r="C169" s="1861"/>
      <c r="D169" s="1861"/>
      <c r="E169" s="33"/>
      <c r="F169" s="460"/>
      <c r="G169" s="1167"/>
      <c r="H169" s="1167"/>
    </row>
    <row r="170" spans="1:8" ht="38.25">
      <c r="A170" s="33"/>
      <c r="B170" s="38"/>
      <c r="C170" s="36" t="s">
        <v>55</v>
      </c>
      <c r="D170" s="40" t="s">
        <v>119</v>
      </c>
      <c r="E170" s="33"/>
      <c r="F170" s="460"/>
      <c r="G170" s="1167"/>
      <c r="H170" s="1167"/>
    </row>
    <row r="171" spans="1:8" ht="25.5">
      <c r="A171" s="33"/>
      <c r="B171" s="38"/>
      <c r="C171" s="36" t="s">
        <v>57</v>
      </c>
      <c r="D171" s="40" t="s">
        <v>120</v>
      </c>
      <c r="E171" s="33"/>
      <c r="F171" s="460"/>
      <c r="G171" s="1167"/>
      <c r="H171" s="1167"/>
    </row>
    <row r="172" spans="1:8" ht="51">
      <c r="A172" s="33"/>
      <c r="B172" s="38"/>
      <c r="C172" s="36" t="s">
        <v>59</v>
      </c>
      <c r="D172" s="1778" t="s">
        <v>1095</v>
      </c>
      <c r="E172" s="33"/>
      <c r="F172" s="460"/>
      <c r="G172" s="1167"/>
      <c r="H172" s="1167"/>
    </row>
    <row r="173" spans="1:8">
      <c r="A173" s="33"/>
      <c r="B173" s="38"/>
      <c r="C173" s="36" t="s">
        <v>61</v>
      </c>
      <c r="D173" s="40" t="s">
        <v>76</v>
      </c>
      <c r="E173" s="33"/>
      <c r="F173" s="460"/>
      <c r="G173" s="1167"/>
      <c r="H173" s="1167"/>
    </row>
    <row r="174" spans="1:8">
      <c r="A174" s="33"/>
      <c r="B174" s="38"/>
      <c r="C174" s="38"/>
      <c r="D174" s="46" t="s">
        <v>67</v>
      </c>
      <c r="E174" s="33"/>
      <c r="F174" s="460"/>
      <c r="G174" s="1167"/>
      <c r="H174" s="1167"/>
    </row>
    <row r="175" spans="1:8">
      <c r="A175" s="33"/>
      <c r="B175" s="1862" t="s">
        <v>121</v>
      </c>
      <c r="C175" s="1862"/>
      <c r="D175" s="1862"/>
      <c r="E175" s="33"/>
      <c r="F175" s="460"/>
      <c r="G175" s="1167"/>
      <c r="H175" s="1167"/>
    </row>
    <row r="176" spans="1:8" ht="25.5">
      <c r="A176" s="33"/>
      <c r="B176" s="38"/>
      <c r="C176" s="36" t="s">
        <v>55</v>
      </c>
      <c r="D176" s="40" t="s">
        <v>122</v>
      </c>
      <c r="E176" s="33"/>
      <c r="F176" s="460"/>
      <c r="G176" s="1167"/>
      <c r="H176" s="1167"/>
    </row>
    <row r="177" spans="1:8" ht="25.5">
      <c r="A177" s="33"/>
      <c r="B177" s="38"/>
      <c r="C177" s="36" t="s">
        <v>57</v>
      </c>
      <c r="D177" s="40" t="s">
        <v>123</v>
      </c>
      <c r="E177" s="33"/>
      <c r="F177" s="460"/>
      <c r="G177" s="1167"/>
      <c r="H177" s="1167"/>
    </row>
    <row r="178" spans="1:8">
      <c r="A178" s="33"/>
      <c r="B178" s="38"/>
      <c r="C178" s="36" t="s">
        <v>59</v>
      </c>
      <c r="D178" s="40" t="s">
        <v>124</v>
      </c>
      <c r="E178" s="33"/>
      <c r="F178" s="460"/>
      <c r="G178" s="1167"/>
      <c r="H178" s="1167"/>
    </row>
    <row r="179" spans="1:8">
      <c r="A179" s="33"/>
      <c r="B179" s="38"/>
      <c r="C179" s="36"/>
      <c r="D179" s="47" t="s">
        <v>125</v>
      </c>
      <c r="E179" s="33"/>
      <c r="F179" s="460"/>
      <c r="G179" s="1167"/>
      <c r="H179" s="1167"/>
    </row>
    <row r="180" spans="1:8" ht="25.5">
      <c r="A180" s="33"/>
      <c r="B180" s="38"/>
      <c r="C180" s="36"/>
      <c r="D180" s="1781" t="s">
        <v>1096</v>
      </c>
      <c r="E180" s="33"/>
      <c r="F180" s="460"/>
      <c r="G180" s="1167"/>
      <c r="H180" s="1167"/>
    </row>
    <row r="181" spans="1:8" ht="25.5">
      <c r="A181" s="33"/>
      <c r="B181" s="38"/>
      <c r="C181" s="36"/>
      <c r="D181" s="47" t="s">
        <v>126</v>
      </c>
      <c r="E181" s="33"/>
      <c r="F181" s="460"/>
      <c r="G181" s="1167"/>
      <c r="H181" s="1167"/>
    </row>
    <row r="182" spans="1:8">
      <c r="A182" s="33"/>
      <c r="B182" s="38"/>
      <c r="C182" s="36"/>
      <c r="D182" s="1781" t="s">
        <v>1097</v>
      </c>
      <c r="E182" s="33"/>
      <c r="F182" s="460"/>
      <c r="G182" s="1167"/>
      <c r="H182" s="1167"/>
    </row>
    <row r="183" spans="1:8">
      <c r="A183" s="33"/>
      <c r="B183" s="38"/>
      <c r="C183" s="36" t="s">
        <v>61</v>
      </c>
      <c r="D183" s="40" t="s">
        <v>101</v>
      </c>
      <c r="E183" s="33"/>
      <c r="F183" s="460"/>
      <c r="G183" s="1167"/>
      <c r="H183" s="1167"/>
    </row>
    <row r="184" spans="1:8">
      <c r="A184" s="33"/>
      <c r="B184" s="38"/>
      <c r="C184" s="38"/>
      <c r="D184" s="46" t="s">
        <v>67</v>
      </c>
      <c r="E184" s="33"/>
      <c r="F184" s="460"/>
      <c r="G184" s="1167"/>
      <c r="H184" s="1167"/>
    </row>
    <row r="185" spans="1:8">
      <c r="A185" s="33"/>
      <c r="B185" s="1862" t="s">
        <v>51</v>
      </c>
      <c r="C185" s="1862"/>
      <c r="D185" s="1862"/>
      <c r="E185" s="33"/>
      <c r="F185" s="460"/>
      <c r="G185" s="1167"/>
      <c r="H185" s="1167"/>
    </row>
    <row r="186" spans="1:8" ht="25.5">
      <c r="A186" s="33"/>
      <c r="B186" s="38"/>
      <c r="C186" s="36" t="s">
        <v>55</v>
      </c>
      <c r="D186" s="40" t="s">
        <v>127</v>
      </c>
      <c r="E186" s="33"/>
      <c r="F186" s="460"/>
      <c r="G186" s="1167"/>
      <c r="H186" s="1167"/>
    </row>
    <row r="187" spans="1:8">
      <c r="A187" s="33"/>
      <c r="B187" s="38"/>
      <c r="C187" s="36" t="s">
        <v>57</v>
      </c>
      <c r="D187" s="40" t="s">
        <v>128</v>
      </c>
      <c r="E187" s="33"/>
      <c r="F187" s="460"/>
      <c r="G187" s="1167"/>
      <c r="H187" s="1167"/>
    </row>
    <row r="188" spans="1:8">
      <c r="A188" s="33"/>
      <c r="B188" s="38"/>
      <c r="C188" s="36"/>
      <c r="D188" s="47" t="s">
        <v>129</v>
      </c>
      <c r="E188" s="33"/>
      <c r="F188" s="460"/>
      <c r="G188" s="1167"/>
      <c r="H188" s="1167"/>
    </row>
    <row r="189" spans="1:8" ht="25.5">
      <c r="A189" s="33"/>
      <c r="B189" s="38"/>
      <c r="C189" s="36"/>
      <c r="D189" s="47" t="s">
        <v>130</v>
      </c>
      <c r="E189" s="33"/>
      <c r="F189" s="460"/>
      <c r="G189" s="1167"/>
      <c r="H189" s="1167"/>
    </row>
    <row r="190" spans="1:8" ht="25.5">
      <c r="A190" s="33"/>
      <c r="B190" s="38"/>
      <c r="C190" s="38"/>
      <c r="D190" s="50" t="s">
        <v>131</v>
      </c>
      <c r="E190" s="33"/>
      <c r="F190" s="460"/>
      <c r="G190" s="1167"/>
      <c r="H190" s="1167"/>
    </row>
    <row r="191" spans="1:8">
      <c r="A191" s="33"/>
      <c r="B191" s="1861" t="s">
        <v>1053</v>
      </c>
      <c r="C191" s="1861"/>
      <c r="D191" s="1861"/>
      <c r="E191" s="33"/>
      <c r="F191" s="460"/>
      <c r="G191" s="1167"/>
      <c r="H191" s="1167"/>
    </row>
    <row r="192" spans="1:8">
      <c r="A192" s="33"/>
      <c r="B192" s="38"/>
      <c r="C192" s="38"/>
      <c r="D192" s="50" t="s">
        <v>132</v>
      </c>
      <c r="E192" s="33"/>
      <c r="F192" s="460"/>
      <c r="G192" s="1167"/>
      <c r="H192" s="1167"/>
    </row>
    <row r="193" spans="1:8">
      <c r="A193" s="33"/>
      <c r="B193" s="38"/>
      <c r="C193" s="38"/>
      <c r="D193" s="50"/>
      <c r="E193" s="33"/>
      <c r="F193" s="460"/>
      <c r="G193" s="1167"/>
      <c r="H193" s="1167"/>
    </row>
    <row r="194" spans="1:8">
      <c r="A194" s="33"/>
      <c r="B194" s="1862" t="s">
        <v>133</v>
      </c>
      <c r="C194" s="1862"/>
      <c r="D194" s="1862"/>
      <c r="E194" s="33"/>
      <c r="F194" s="460"/>
      <c r="G194" s="1167"/>
      <c r="H194" s="1167"/>
    </row>
    <row r="195" spans="1:8">
      <c r="A195" s="33"/>
      <c r="B195" s="38"/>
      <c r="C195" s="36" t="s">
        <v>55</v>
      </c>
      <c r="D195" s="1778" t="s">
        <v>1098</v>
      </c>
      <c r="E195" s="33"/>
      <c r="F195" s="460"/>
      <c r="G195" s="1167"/>
      <c r="H195" s="1167"/>
    </row>
    <row r="196" spans="1:8">
      <c r="A196" s="33"/>
      <c r="B196" s="38"/>
      <c r="C196" s="36" t="s">
        <v>57</v>
      </c>
      <c r="D196" s="28" t="s">
        <v>134</v>
      </c>
      <c r="E196" s="33"/>
      <c r="F196" s="460"/>
      <c r="G196" s="1167"/>
      <c r="H196" s="1167"/>
    </row>
    <row r="197" spans="1:8">
      <c r="A197" s="33"/>
      <c r="B197" s="38"/>
      <c r="C197" s="36" t="s">
        <v>59</v>
      </c>
      <c r="D197" s="28" t="s">
        <v>135</v>
      </c>
      <c r="E197" s="33"/>
      <c r="F197" s="460"/>
      <c r="G197" s="1167"/>
      <c r="H197" s="1167"/>
    </row>
    <row r="198" spans="1:8" ht="25.5">
      <c r="A198" s="33"/>
      <c r="B198" s="38"/>
      <c r="C198" s="36" t="s">
        <v>61</v>
      </c>
      <c r="D198" s="40" t="s">
        <v>136</v>
      </c>
      <c r="E198" s="33"/>
      <c r="F198" s="460"/>
      <c r="G198" s="1167"/>
      <c r="H198" s="1167"/>
    </row>
    <row r="199" spans="1:8">
      <c r="A199" s="33"/>
      <c r="B199" s="38"/>
      <c r="C199" s="36" t="s">
        <v>62</v>
      </c>
      <c r="D199" s="40" t="s">
        <v>137</v>
      </c>
      <c r="E199" s="33"/>
      <c r="F199" s="460"/>
      <c r="G199" s="1167"/>
      <c r="H199" s="1167"/>
    </row>
    <row r="200" spans="1:8">
      <c r="A200" s="33"/>
      <c r="B200" s="38"/>
      <c r="C200" s="36" t="s">
        <v>70</v>
      </c>
      <c r="D200" s="40" t="s">
        <v>138</v>
      </c>
      <c r="E200" s="33"/>
      <c r="F200" s="460"/>
      <c r="G200" s="1167"/>
      <c r="H200" s="1167"/>
    </row>
    <row r="201" spans="1:8">
      <c r="A201" s="33"/>
      <c r="B201" s="38"/>
      <c r="C201" s="36" t="s">
        <v>139</v>
      </c>
      <c r="D201" s="40" t="s">
        <v>140</v>
      </c>
      <c r="E201" s="33"/>
      <c r="F201" s="460"/>
      <c r="G201" s="1167"/>
      <c r="H201" s="1167"/>
    </row>
    <row r="202" spans="1:8">
      <c r="A202" s="33"/>
      <c r="B202" s="38"/>
      <c r="C202" s="36"/>
      <c r="D202" s="40"/>
      <c r="E202" s="33"/>
      <c r="F202" s="460"/>
      <c r="G202" s="1167"/>
      <c r="H202" s="1167"/>
    </row>
    <row r="203" spans="1:8">
      <c r="A203" s="33"/>
      <c r="B203" s="1861" t="s">
        <v>1099</v>
      </c>
      <c r="C203" s="1861"/>
      <c r="D203" s="1861"/>
      <c r="E203" s="33"/>
      <c r="F203" s="460"/>
      <c r="G203" s="1167"/>
      <c r="H203" s="1167"/>
    </row>
    <row r="204" spans="1:8" ht="38.25">
      <c r="A204" s="33"/>
      <c r="B204" s="38"/>
      <c r="C204" s="36" t="s">
        <v>55</v>
      </c>
      <c r="D204" s="1778" t="s">
        <v>1100</v>
      </c>
      <c r="E204" s="33"/>
      <c r="F204" s="460"/>
      <c r="G204" s="1167"/>
      <c r="H204" s="1167"/>
    </row>
    <row r="205" spans="1:8">
      <c r="A205" s="33"/>
      <c r="B205" s="38"/>
      <c r="C205" s="36" t="s">
        <v>57</v>
      </c>
      <c r="D205" s="40" t="s">
        <v>141</v>
      </c>
      <c r="E205" s="33"/>
      <c r="F205" s="460"/>
      <c r="G205" s="1167"/>
      <c r="H205" s="1167"/>
    </row>
    <row r="206" spans="1:8">
      <c r="A206" s="33"/>
      <c r="B206" s="38"/>
      <c r="C206" s="36"/>
      <c r="D206" s="40"/>
      <c r="E206" s="33"/>
      <c r="F206" s="460"/>
      <c r="G206" s="1167"/>
      <c r="H206" s="1167"/>
    </row>
    <row r="207" spans="1:8">
      <c r="A207" s="33"/>
      <c r="B207" s="1862" t="s">
        <v>142</v>
      </c>
      <c r="C207" s="1862"/>
      <c r="D207" s="1862"/>
      <c r="E207" s="33"/>
      <c r="F207" s="460"/>
      <c r="G207" s="1167"/>
      <c r="H207" s="1167"/>
    </row>
    <row r="208" spans="1:8" ht="25.5">
      <c r="A208" s="33"/>
      <c r="B208" s="38"/>
      <c r="C208" s="36" t="s">
        <v>55</v>
      </c>
      <c r="D208" s="40" t="s">
        <v>143</v>
      </c>
      <c r="E208" s="33"/>
      <c r="F208" s="460"/>
      <c r="G208" s="1167"/>
      <c r="H208" s="1167"/>
    </row>
    <row r="209" spans="1:8">
      <c r="A209" s="33"/>
      <c r="B209" s="38"/>
      <c r="C209" s="36" t="s">
        <v>57</v>
      </c>
      <c r="D209" s="40" t="s">
        <v>144</v>
      </c>
      <c r="E209" s="33"/>
      <c r="F209" s="460"/>
      <c r="G209" s="1167"/>
      <c r="H209" s="1167"/>
    </row>
    <row r="210" spans="1:8">
      <c r="A210" s="33"/>
      <c r="B210" s="38"/>
      <c r="C210" s="38"/>
      <c r="D210" s="46" t="s">
        <v>67</v>
      </c>
      <c r="E210" s="33"/>
      <c r="F210" s="460"/>
      <c r="G210" s="1167"/>
      <c r="H210" s="1167"/>
    </row>
    <row r="211" spans="1:8">
      <c r="A211" s="33"/>
      <c r="B211" s="1862" t="s">
        <v>145</v>
      </c>
      <c r="C211" s="1862"/>
      <c r="D211" s="1862"/>
      <c r="E211" s="33"/>
      <c r="F211" s="460"/>
      <c r="G211" s="1167"/>
      <c r="H211" s="1167"/>
    </row>
    <row r="212" spans="1:8" ht="25.5">
      <c r="A212" s="33"/>
      <c r="B212" s="38"/>
      <c r="C212" s="36" t="s">
        <v>55</v>
      </c>
      <c r="D212" s="40" t="s">
        <v>146</v>
      </c>
      <c r="E212" s="33"/>
      <c r="F212" s="460"/>
      <c r="G212" s="1167"/>
      <c r="H212" s="1167"/>
    </row>
    <row r="213" spans="1:8" ht="25.5">
      <c r="A213" s="33"/>
      <c r="B213" s="38"/>
      <c r="C213" s="36" t="s">
        <v>57</v>
      </c>
      <c r="D213" s="40" t="s">
        <v>147</v>
      </c>
      <c r="E213" s="33"/>
      <c r="F213" s="460"/>
      <c r="G213" s="1167"/>
      <c r="H213" s="1167"/>
    </row>
    <row r="214" spans="1:8" ht="38.25">
      <c r="A214" s="33"/>
      <c r="B214" s="38"/>
      <c r="C214" s="36" t="s">
        <v>59</v>
      </c>
      <c r="D214" s="40" t="s">
        <v>110</v>
      </c>
      <c r="E214" s="33"/>
      <c r="F214" s="460"/>
      <c r="G214" s="1167"/>
      <c r="H214" s="1167"/>
    </row>
    <row r="215" spans="1:8">
      <c r="A215" s="33"/>
      <c r="B215" s="38"/>
      <c r="C215" s="36" t="s">
        <v>61</v>
      </c>
      <c r="D215" s="40" t="s">
        <v>148</v>
      </c>
      <c r="E215" s="33"/>
      <c r="F215" s="460"/>
      <c r="G215" s="1167"/>
      <c r="H215" s="1167"/>
    </row>
    <row r="216" spans="1:8">
      <c r="A216" s="33"/>
      <c r="B216" s="38"/>
      <c r="C216" s="36"/>
      <c r="D216" s="47" t="s">
        <v>149</v>
      </c>
      <c r="E216" s="33"/>
      <c r="F216" s="460"/>
      <c r="G216" s="1167"/>
      <c r="H216" s="1167"/>
    </row>
    <row r="217" spans="1:8">
      <c r="A217" s="33"/>
      <c r="B217" s="38"/>
      <c r="C217" s="36"/>
      <c r="D217" s="47" t="s">
        <v>150</v>
      </c>
      <c r="E217" s="33"/>
      <c r="F217" s="460"/>
      <c r="G217" s="1167"/>
      <c r="H217" s="1167"/>
    </row>
    <row r="218" spans="1:8" ht="24.75" customHeight="1">
      <c r="A218" s="33"/>
      <c r="B218" s="38"/>
      <c r="C218" s="36"/>
      <c r="D218" s="47" t="s">
        <v>151</v>
      </c>
      <c r="E218" s="33"/>
      <c r="F218" s="460"/>
      <c r="G218" s="1167"/>
      <c r="H218" s="1167"/>
    </row>
    <row r="219" spans="1:8">
      <c r="A219" s="33"/>
      <c r="B219" s="38"/>
      <c r="C219" s="36" t="s">
        <v>62</v>
      </c>
      <c r="D219" s="40" t="s">
        <v>152</v>
      </c>
      <c r="E219" s="33"/>
      <c r="F219" s="460"/>
      <c r="G219" s="1167"/>
      <c r="H219" s="1167"/>
    </row>
    <row r="220" spans="1:8" ht="25.5">
      <c r="A220" s="33"/>
      <c r="B220" s="38"/>
      <c r="C220" s="36" t="s">
        <v>70</v>
      </c>
      <c r="D220" s="40" t="s">
        <v>153</v>
      </c>
      <c r="E220" s="33"/>
      <c r="F220" s="460"/>
      <c r="G220" s="1167"/>
      <c r="H220" s="1167"/>
    </row>
    <row r="221" spans="1:8" ht="25.5">
      <c r="A221" s="33"/>
      <c r="B221" s="38"/>
      <c r="C221" s="36" t="s">
        <v>71</v>
      </c>
      <c r="D221" s="40" t="s">
        <v>154</v>
      </c>
      <c r="E221" s="33"/>
      <c r="F221" s="460"/>
      <c r="G221" s="1167"/>
      <c r="H221" s="1167"/>
    </row>
    <row r="222" spans="1:8" ht="25.5">
      <c r="A222" s="33"/>
      <c r="B222" s="38"/>
      <c r="C222" s="36" t="s">
        <v>93</v>
      </c>
      <c r="D222" s="40" t="s">
        <v>155</v>
      </c>
      <c r="E222" s="33"/>
      <c r="F222" s="460"/>
      <c r="G222" s="1167"/>
      <c r="H222" s="1167"/>
    </row>
    <row r="223" spans="1:8">
      <c r="A223" s="33"/>
      <c r="B223" s="38"/>
      <c r="C223" s="36" t="s">
        <v>156</v>
      </c>
      <c r="D223" s="40" t="s">
        <v>157</v>
      </c>
      <c r="E223" s="33"/>
      <c r="F223" s="460"/>
      <c r="G223" s="1167"/>
      <c r="H223" s="1167"/>
    </row>
    <row r="224" spans="1:8">
      <c r="A224" s="33"/>
      <c r="B224" s="38"/>
      <c r="C224" s="38"/>
      <c r="D224" s="46" t="s">
        <v>67</v>
      </c>
      <c r="E224" s="33"/>
      <c r="F224" s="460"/>
      <c r="G224" s="1167"/>
      <c r="H224" s="1167"/>
    </row>
    <row r="225" spans="1:8">
      <c r="A225" s="33"/>
      <c r="B225" s="1862" t="s">
        <v>158</v>
      </c>
      <c r="C225" s="1862"/>
      <c r="D225" s="1862"/>
      <c r="E225" s="33"/>
      <c r="F225" s="460"/>
      <c r="G225" s="1167"/>
      <c r="H225" s="1167"/>
    </row>
    <row r="226" spans="1:8" ht="25.5">
      <c r="A226" s="33"/>
      <c r="B226" s="38"/>
      <c r="C226" s="36" t="s">
        <v>55</v>
      </c>
      <c r="D226" s="40" t="s">
        <v>159</v>
      </c>
      <c r="E226" s="33"/>
      <c r="F226" s="460"/>
      <c r="G226" s="1167"/>
      <c r="H226" s="1167"/>
    </row>
    <row r="227" spans="1:8" ht="25.5">
      <c r="A227" s="33"/>
      <c r="B227" s="38"/>
      <c r="C227" s="36" t="s">
        <v>57</v>
      </c>
      <c r="D227" s="40" t="s">
        <v>160</v>
      </c>
      <c r="E227" s="33"/>
      <c r="F227" s="460"/>
      <c r="G227" s="1167"/>
      <c r="H227" s="1167"/>
    </row>
    <row r="228" spans="1:8">
      <c r="A228" s="33"/>
      <c r="B228" s="38"/>
      <c r="C228" s="36" t="s">
        <v>59</v>
      </c>
      <c r="D228" s="40" t="s">
        <v>161</v>
      </c>
      <c r="E228" s="33"/>
      <c r="F228" s="460"/>
      <c r="G228" s="1167"/>
      <c r="H228" s="1167"/>
    </row>
    <row r="229" spans="1:8" ht="25.5">
      <c r="A229" s="33"/>
      <c r="B229" s="38"/>
      <c r="C229" s="36"/>
      <c r="D229" s="47" t="s">
        <v>162</v>
      </c>
      <c r="E229" s="33"/>
      <c r="F229" s="460"/>
      <c r="G229" s="1167"/>
      <c r="H229" s="1167"/>
    </row>
    <row r="230" spans="1:8" ht="38.25">
      <c r="A230" s="33"/>
      <c r="B230" s="38"/>
      <c r="C230" s="36"/>
      <c r="D230" s="47" t="s">
        <v>163</v>
      </c>
      <c r="E230" s="33"/>
      <c r="F230" s="460"/>
      <c r="G230" s="1167"/>
      <c r="H230" s="1167"/>
    </row>
    <row r="231" spans="1:8" ht="25.5">
      <c r="A231" s="33"/>
      <c r="B231" s="38"/>
      <c r="C231" s="36" t="s">
        <v>61</v>
      </c>
      <c r="D231" s="1778" t="s">
        <v>1101</v>
      </c>
      <c r="E231" s="33"/>
      <c r="F231" s="460"/>
      <c r="G231" s="1167"/>
      <c r="H231" s="1167"/>
    </row>
    <row r="232" spans="1:8">
      <c r="A232" s="33"/>
      <c r="B232" s="38"/>
      <c r="C232" s="36" t="s">
        <v>62</v>
      </c>
      <c r="D232" s="1778" t="s">
        <v>1102</v>
      </c>
      <c r="E232" s="33"/>
      <c r="F232" s="460"/>
      <c r="G232" s="1167"/>
      <c r="H232" s="1167"/>
    </row>
    <row r="233" spans="1:8">
      <c r="A233" s="33"/>
      <c r="B233" s="38"/>
      <c r="C233" s="36"/>
      <c r="D233" s="47" t="s">
        <v>164</v>
      </c>
      <c r="E233" s="33"/>
      <c r="F233" s="460"/>
      <c r="G233" s="1167"/>
      <c r="H233" s="1167"/>
    </row>
    <row r="234" spans="1:8">
      <c r="A234" s="33"/>
      <c r="B234" s="38"/>
      <c r="C234" s="36"/>
      <c r="D234" s="47" t="s">
        <v>165</v>
      </c>
      <c r="E234" s="33"/>
      <c r="F234" s="460"/>
      <c r="G234" s="1167"/>
      <c r="H234" s="1167"/>
    </row>
    <row r="235" spans="1:8">
      <c r="A235" s="33"/>
      <c r="B235" s="38"/>
      <c r="C235" s="36"/>
      <c r="D235" s="47" t="s">
        <v>166</v>
      </c>
      <c r="E235" s="33"/>
      <c r="F235" s="460"/>
      <c r="G235" s="1167"/>
      <c r="H235" s="1167"/>
    </row>
    <row r="236" spans="1:8" ht="25.5">
      <c r="A236" s="33"/>
      <c r="B236" s="38"/>
      <c r="C236" s="36"/>
      <c r="D236" s="47" t="s">
        <v>167</v>
      </c>
      <c r="E236" s="33"/>
      <c r="F236" s="460"/>
      <c r="G236" s="1167"/>
      <c r="H236" s="1167"/>
    </row>
    <row r="237" spans="1:8">
      <c r="A237" s="33"/>
      <c r="B237" s="38"/>
      <c r="C237" s="36"/>
      <c r="D237" s="47" t="s">
        <v>168</v>
      </c>
      <c r="E237" s="33"/>
      <c r="F237" s="460"/>
      <c r="G237" s="1167"/>
      <c r="H237" s="1167"/>
    </row>
    <row r="238" spans="1:8">
      <c r="A238" s="33"/>
      <c r="B238" s="38"/>
      <c r="C238" s="36" t="s">
        <v>70</v>
      </c>
      <c r="D238" s="40" t="s">
        <v>169</v>
      </c>
      <c r="E238" s="33"/>
      <c r="F238" s="460"/>
      <c r="G238" s="1167"/>
      <c r="H238" s="1167"/>
    </row>
    <row r="239" spans="1:8">
      <c r="A239" s="33"/>
      <c r="B239" s="38"/>
      <c r="C239" s="38"/>
      <c r="D239" s="46" t="s">
        <v>67</v>
      </c>
      <c r="E239" s="33"/>
      <c r="F239" s="460"/>
      <c r="G239" s="1167"/>
      <c r="H239" s="1167"/>
    </row>
    <row r="240" spans="1:8">
      <c r="A240" s="33"/>
      <c r="B240" s="1861" t="s">
        <v>53</v>
      </c>
      <c r="C240" s="1861"/>
      <c r="D240" s="1861"/>
      <c r="E240" s="33"/>
      <c r="F240" s="460"/>
      <c r="G240" s="1167"/>
      <c r="H240" s="1167"/>
    </row>
    <row r="241" spans="1:8" ht="25.5">
      <c r="A241" s="33"/>
      <c r="B241" s="38"/>
      <c r="C241" s="36" t="s">
        <v>55</v>
      </c>
      <c r="D241" s="40" t="s">
        <v>170</v>
      </c>
      <c r="E241" s="33"/>
      <c r="F241" s="460"/>
      <c r="G241" s="1167"/>
      <c r="H241" s="1167"/>
    </row>
    <row r="242" spans="1:8">
      <c r="A242" s="33"/>
      <c r="B242" s="38"/>
      <c r="C242" s="36" t="s">
        <v>57</v>
      </c>
      <c r="D242" s="40" t="s">
        <v>171</v>
      </c>
      <c r="E242" s="33"/>
      <c r="F242" s="460"/>
      <c r="G242" s="1167"/>
      <c r="H242" s="1167"/>
    </row>
    <row r="243" spans="1:8">
      <c r="A243" s="33"/>
      <c r="B243" s="38"/>
      <c r="C243" s="36" t="s">
        <v>59</v>
      </c>
      <c r="D243" s="40" t="s">
        <v>172</v>
      </c>
      <c r="E243" s="33"/>
      <c r="F243" s="460"/>
      <c r="G243" s="1167"/>
      <c r="H243" s="1167"/>
    </row>
    <row r="244" spans="1:8">
      <c r="A244" s="33"/>
      <c r="B244" s="38"/>
      <c r="C244" s="38"/>
      <c r="D244" s="46" t="s">
        <v>67</v>
      </c>
      <c r="E244" s="33"/>
      <c r="F244" s="460"/>
      <c r="G244" s="1167"/>
      <c r="H244" s="1167"/>
    </row>
    <row r="245" spans="1:8">
      <c r="A245" s="33"/>
      <c r="B245" s="1862" t="s">
        <v>54</v>
      </c>
      <c r="C245" s="1863"/>
      <c r="D245" s="1863"/>
      <c r="E245" s="33"/>
      <c r="F245" s="460"/>
      <c r="G245" s="1167"/>
      <c r="H245" s="1167"/>
    </row>
    <row r="246" spans="1:8">
      <c r="A246" s="33"/>
      <c r="B246" s="38"/>
      <c r="C246" s="36" t="s">
        <v>55</v>
      </c>
      <c r="D246" s="28" t="s">
        <v>173</v>
      </c>
      <c r="E246" s="33"/>
      <c r="F246" s="460"/>
      <c r="G246" s="1167"/>
      <c r="H246" s="1167"/>
    </row>
    <row r="247" spans="1:8" ht="25.5">
      <c r="A247" s="33"/>
      <c r="B247" s="38"/>
      <c r="C247" s="36" t="s">
        <v>57</v>
      </c>
      <c r="D247" s="40" t="s">
        <v>174</v>
      </c>
      <c r="E247" s="33"/>
      <c r="F247" s="460"/>
      <c r="G247" s="1167"/>
      <c r="H247" s="1167"/>
    </row>
    <row r="248" spans="1:8">
      <c r="A248" s="33"/>
      <c r="B248" s="38"/>
      <c r="C248" s="36" t="s">
        <v>59</v>
      </c>
      <c r="D248" s="40" t="s">
        <v>175</v>
      </c>
      <c r="E248" s="33"/>
      <c r="F248" s="460"/>
      <c r="G248" s="1167"/>
      <c r="H248" s="1167"/>
    </row>
    <row r="249" spans="1:8">
      <c r="A249" s="33"/>
      <c r="B249" s="38"/>
      <c r="C249" s="1776" t="s">
        <v>1103</v>
      </c>
      <c r="D249" s="40"/>
      <c r="E249" s="33"/>
      <c r="F249" s="460"/>
      <c r="G249" s="1167"/>
      <c r="H249" s="1167"/>
    </row>
    <row r="250" spans="1:8">
      <c r="A250" s="33"/>
      <c r="B250" s="38"/>
      <c r="C250" s="36"/>
      <c r="D250" s="40"/>
      <c r="E250" s="33"/>
      <c r="F250" s="460"/>
      <c r="G250" s="1167"/>
      <c r="H250" s="1167"/>
    </row>
    <row r="251" spans="1:8">
      <c r="A251" s="33"/>
      <c r="B251" s="1867" t="s">
        <v>176</v>
      </c>
      <c r="C251" s="1868"/>
      <c r="D251" s="1868"/>
      <c r="E251" s="33"/>
      <c r="F251" s="460"/>
      <c r="G251" s="1167"/>
      <c r="H251" s="1167"/>
    </row>
    <row r="252" spans="1:8">
      <c r="A252" s="33"/>
      <c r="B252" s="38"/>
      <c r="C252" s="38"/>
      <c r="D252" s="51" t="s">
        <v>177</v>
      </c>
      <c r="E252" s="33"/>
      <c r="F252" s="460"/>
      <c r="G252" s="1167"/>
      <c r="H252" s="1167"/>
    </row>
    <row r="253" spans="1:8" ht="15.75">
      <c r="A253" s="33"/>
      <c r="B253" s="38"/>
      <c r="C253" s="38"/>
      <c r="D253" s="52"/>
      <c r="E253" s="33"/>
      <c r="F253" s="460"/>
      <c r="G253" s="1167"/>
      <c r="H253" s="1167"/>
    </row>
    <row r="254" spans="1:8" ht="25.5">
      <c r="A254" s="33"/>
      <c r="B254" s="38"/>
      <c r="C254" s="38"/>
      <c r="D254" s="46" t="s">
        <v>178</v>
      </c>
      <c r="E254" s="33"/>
      <c r="F254" s="460"/>
      <c r="G254" s="1167"/>
      <c r="H254" s="1167"/>
    </row>
    <row r="255" spans="1:8">
      <c r="A255" s="33"/>
      <c r="B255" s="38"/>
      <c r="C255" s="38"/>
      <c r="D255" s="53" t="s">
        <v>179</v>
      </c>
      <c r="E255" s="33"/>
      <c r="F255" s="460"/>
      <c r="G255" s="1167"/>
      <c r="H255" s="1167"/>
    </row>
    <row r="256" spans="1:8">
      <c r="A256" s="33"/>
      <c r="B256" s="38"/>
      <c r="C256" s="38"/>
      <c r="D256" s="54"/>
      <c r="E256" s="33"/>
      <c r="F256" s="460"/>
      <c r="G256" s="1167"/>
      <c r="H256" s="1167"/>
    </row>
    <row r="257" spans="1:8">
      <c r="A257" s="33"/>
      <c r="B257" s="38"/>
      <c r="C257" s="55" t="s">
        <v>180</v>
      </c>
      <c r="D257" s="56"/>
      <c r="E257" s="33"/>
      <c r="F257" s="460"/>
      <c r="G257" s="1167"/>
      <c r="H257" s="1167"/>
    </row>
    <row r="258" spans="1:8" ht="25.5">
      <c r="A258" s="33"/>
      <c r="B258" s="38"/>
      <c r="C258" s="1782" t="s">
        <v>55</v>
      </c>
      <c r="D258" s="58" t="s">
        <v>182</v>
      </c>
      <c r="E258" s="33"/>
      <c r="F258" s="460"/>
      <c r="G258" s="1167"/>
      <c r="H258" s="1167"/>
    </row>
    <row r="259" spans="1:8" ht="38.25">
      <c r="A259" s="33"/>
      <c r="B259" s="38"/>
      <c r="C259" s="59" t="s">
        <v>57</v>
      </c>
      <c r="D259" s="60" t="s">
        <v>183</v>
      </c>
      <c r="E259" s="33"/>
      <c r="F259" s="460"/>
      <c r="G259" s="1167"/>
      <c r="H259" s="1167"/>
    </row>
    <row r="260" spans="1:8" ht="51">
      <c r="A260" s="33"/>
      <c r="B260" s="38"/>
      <c r="C260" s="59" t="s">
        <v>59</v>
      </c>
      <c r="D260" s="61" t="s">
        <v>184</v>
      </c>
      <c r="E260" s="33"/>
      <c r="F260" s="460"/>
      <c r="G260" s="1167"/>
      <c r="H260" s="1167"/>
    </row>
    <row r="261" spans="1:8">
      <c r="A261" s="33"/>
      <c r="B261" s="38"/>
      <c r="C261" s="59" t="s">
        <v>61</v>
      </c>
      <c r="D261" s="62" t="s">
        <v>185</v>
      </c>
      <c r="E261" s="33"/>
      <c r="F261" s="460"/>
      <c r="G261" s="1167"/>
      <c r="H261" s="1167"/>
    </row>
    <row r="262" spans="1:8">
      <c r="A262" s="33"/>
      <c r="B262" s="38"/>
      <c r="C262" s="59" t="s">
        <v>62</v>
      </c>
      <c r="D262" s="63" t="s">
        <v>186</v>
      </c>
      <c r="E262" s="33"/>
      <c r="F262" s="460"/>
      <c r="G262" s="1167"/>
      <c r="H262" s="1177"/>
    </row>
    <row r="263" spans="1:8">
      <c r="A263" s="33"/>
      <c r="B263" s="38"/>
      <c r="C263" s="57"/>
      <c r="D263" s="64"/>
      <c r="E263" s="33"/>
      <c r="F263" s="460"/>
      <c r="G263" s="1167"/>
      <c r="H263" s="1167"/>
    </row>
    <row r="264" spans="1:8">
      <c r="A264" s="33"/>
      <c r="B264" s="38"/>
      <c r="C264" s="65" t="s">
        <v>187</v>
      </c>
      <c r="D264" s="66"/>
      <c r="E264" s="33"/>
      <c r="F264" s="460"/>
      <c r="G264" s="1167"/>
      <c r="H264" s="1167"/>
    </row>
    <row r="265" spans="1:8">
      <c r="A265" s="33"/>
      <c r="B265" s="38"/>
      <c r="C265" s="59" t="s">
        <v>55</v>
      </c>
      <c r="D265" s="53" t="s">
        <v>1029</v>
      </c>
      <c r="E265" s="33"/>
      <c r="F265" s="460"/>
      <c r="G265" s="1167"/>
      <c r="H265" s="1167"/>
    </row>
    <row r="266" spans="1:8">
      <c r="A266" s="33"/>
      <c r="B266" s="38"/>
      <c r="C266" s="59" t="s">
        <v>57</v>
      </c>
      <c r="D266" s="56" t="s">
        <v>188</v>
      </c>
      <c r="E266" s="33"/>
      <c r="F266" s="460"/>
      <c r="G266" s="1167"/>
      <c r="H266" s="1167"/>
    </row>
    <row r="267" spans="1:8">
      <c r="A267" s="33"/>
      <c r="B267" s="38"/>
      <c r="C267" s="59" t="s">
        <v>59</v>
      </c>
      <c r="D267" s="62" t="s">
        <v>189</v>
      </c>
      <c r="E267" s="33"/>
      <c r="F267" s="460"/>
      <c r="G267" s="1167"/>
      <c r="H267" s="1167"/>
    </row>
    <row r="268" spans="1:8" ht="38.25">
      <c r="A268" s="33"/>
      <c r="B268" s="38"/>
      <c r="C268" s="59" t="s">
        <v>61</v>
      </c>
      <c r="D268" s="62" t="s">
        <v>190</v>
      </c>
      <c r="E268" s="33"/>
      <c r="F268" s="460"/>
      <c r="G268" s="1167"/>
      <c r="H268" s="1167"/>
    </row>
    <row r="269" spans="1:8">
      <c r="A269" s="33"/>
      <c r="B269" s="38"/>
      <c r="C269" s="59" t="s">
        <v>62</v>
      </c>
      <c r="D269" s="62" t="s">
        <v>191</v>
      </c>
      <c r="E269" s="33"/>
      <c r="F269" s="460"/>
      <c r="G269" s="1167"/>
      <c r="H269" s="1167"/>
    </row>
    <row r="270" spans="1:8">
      <c r="A270" s="33"/>
      <c r="B270" s="38"/>
      <c r="C270" s="59" t="s">
        <v>70</v>
      </c>
      <c r="D270" s="62" t="s">
        <v>192</v>
      </c>
      <c r="E270" s="33"/>
      <c r="F270" s="460"/>
      <c r="G270" s="1167"/>
      <c r="H270" s="1167"/>
    </row>
    <row r="271" spans="1:8" ht="51">
      <c r="A271" s="33"/>
      <c r="B271" s="67"/>
      <c r="C271" s="59" t="s">
        <v>71</v>
      </c>
      <c r="D271" s="62" t="s">
        <v>193</v>
      </c>
      <c r="E271" s="33"/>
      <c r="F271" s="460"/>
      <c r="G271" s="1167"/>
      <c r="H271" s="1167"/>
    </row>
    <row r="272" spans="1:8" ht="25.5">
      <c r="A272" s="33"/>
      <c r="B272" s="38"/>
      <c r="C272" s="59" t="s">
        <v>93</v>
      </c>
      <c r="D272" s="1811" t="s">
        <v>1117</v>
      </c>
      <c r="E272" s="33"/>
      <c r="F272" s="460"/>
      <c r="G272" s="1167"/>
      <c r="H272" s="1167"/>
    </row>
    <row r="273" spans="1:8" ht="25.5">
      <c r="A273" s="33"/>
      <c r="B273" s="38"/>
      <c r="C273" s="59" t="s">
        <v>194</v>
      </c>
      <c r="D273" s="68" t="s">
        <v>195</v>
      </c>
      <c r="E273" s="33"/>
      <c r="F273" s="460"/>
      <c r="G273" s="1167"/>
      <c r="H273" s="1167"/>
    </row>
    <row r="274" spans="1:8">
      <c r="A274" s="33"/>
      <c r="B274" s="38"/>
      <c r="C274" s="69"/>
      <c r="D274" s="64"/>
      <c r="E274" s="33"/>
      <c r="F274" s="460"/>
      <c r="G274" s="1167"/>
      <c r="H274" s="1167"/>
    </row>
    <row r="275" spans="1:8">
      <c r="A275" s="33"/>
      <c r="B275" s="1866" t="s">
        <v>196</v>
      </c>
      <c r="C275" s="1866"/>
      <c r="D275" s="1866"/>
      <c r="E275" s="33"/>
      <c r="F275" s="460"/>
      <c r="G275" s="1167"/>
      <c r="H275" s="1167"/>
    </row>
    <row r="276" spans="1:8">
      <c r="A276" s="33"/>
      <c r="B276" s="70"/>
      <c r="C276" s="70" t="s">
        <v>55</v>
      </c>
      <c r="D276" s="70" t="s">
        <v>197</v>
      </c>
      <c r="E276" s="33"/>
      <c r="F276" s="460"/>
      <c r="G276" s="1167"/>
      <c r="H276" s="1167"/>
    </row>
    <row r="277" spans="1:8">
      <c r="A277" s="33"/>
      <c r="B277" s="70"/>
      <c r="C277" s="70" t="s">
        <v>57</v>
      </c>
      <c r="D277" s="70" t="s">
        <v>198</v>
      </c>
      <c r="E277" s="460"/>
      <c r="F277" s="460"/>
      <c r="G277" s="1167"/>
      <c r="H277" s="1167"/>
    </row>
    <row r="278" spans="1:8">
      <c r="A278" s="33"/>
      <c r="B278" s="38"/>
      <c r="C278" s="38"/>
      <c r="D278" s="28"/>
      <c r="E278" s="1167"/>
      <c r="F278" s="1167"/>
      <c r="G278" s="1167"/>
      <c r="H278" s="1167"/>
    </row>
    <row r="279" spans="1:8">
      <c r="A279" s="33"/>
      <c r="B279" s="33"/>
      <c r="C279" s="33"/>
      <c r="D279" s="33"/>
      <c r="E279" s="1167"/>
      <c r="F279" s="1167"/>
      <c r="G279" s="1167"/>
      <c r="H279" s="1167"/>
    </row>
    <row r="280" spans="1:8">
      <c r="A280" s="38"/>
      <c r="B280" s="38"/>
      <c r="C280" s="38"/>
      <c r="D280" s="38"/>
    </row>
  </sheetData>
  <mergeCells count="28">
    <mergeCell ref="B275:D275"/>
    <mergeCell ref="B191:D191"/>
    <mergeCell ref="B194:D194"/>
    <mergeCell ref="B203:D203"/>
    <mergeCell ref="B207:D207"/>
    <mergeCell ref="B211:D211"/>
    <mergeCell ref="B225:D225"/>
    <mergeCell ref="B240:D240"/>
    <mergeCell ref="B245:D245"/>
    <mergeCell ref="B251:D251"/>
    <mergeCell ref="B185:D185"/>
    <mergeCell ref="B101:D101"/>
    <mergeCell ref="B110:D110"/>
    <mergeCell ref="B119:D119"/>
    <mergeCell ref="B124:D124"/>
    <mergeCell ref="B131:D131"/>
    <mergeCell ref="B136:D136"/>
    <mergeCell ref="B144:D144"/>
    <mergeCell ref="B154:D154"/>
    <mergeCell ref="B161:D161"/>
    <mergeCell ref="B169:D169"/>
    <mergeCell ref="B175:D175"/>
    <mergeCell ref="B94:D94"/>
    <mergeCell ref="B39:D39"/>
    <mergeCell ref="B45:D45"/>
    <mergeCell ref="B48:D48"/>
    <mergeCell ref="B54:D54"/>
    <mergeCell ref="B75:D75"/>
  </mergeCells>
  <hyperlinks>
    <hyperlink ref="D9" location="Instructions!A49" tooltip="Go to Instruction narrative" display="Attachment 1 – Listing of Largest Customers Billed During Latest 12 Months"/>
    <hyperlink ref="D16" location="Instructions!A94" tooltip="Go to Instruction narrative" display="Attachment 4 – Public Fire Protection Revenue-Test Year (Summary)"/>
    <hyperlink ref="D17" location="Instructions!A101" tooltip="Go to Instruction narrative" display="Attachment 5 – Public Fire Protection Revenue-Test Year (Detail)"/>
    <hyperlink ref="D18" location="Instructions!A110" tooltip="Go to Instruction narrative" display="Attachment 6 – Private Fire Protection Revenue-Test Year"/>
    <hyperlink ref="D19" location="Instructions!A119" tooltip="Go to Instruction narrative" display="Attachment 7 – Operating Revenues-Test Year (Summary)"/>
    <hyperlink ref="D20" location="Instructions!A124" tooltip="Go to Instruction narrative" display="Attachment 8 – Taxes-Test Year Summary"/>
    <hyperlink ref="D22" location="Instructions!A136" tooltip="Go to Instruction narrative" display="Attachment 10 – Operating Expenses"/>
    <hyperlink ref="D23" location="Instructions!A144" tooltip="Go to Instruction narrative" display="Attachment 11 and 11a– Utility Plant in Service"/>
    <hyperlink ref="D24" location="Instructions!A161" tooltip="Go to Instruction narrative" display="Attachment 12 – Depreciation Accrual and Expenses"/>
    <hyperlink ref="D27" location="Instructions!A185" tooltip="Go to Instruction narrative" display="Attachment 15 – Financing and Debt Summary"/>
    <hyperlink ref="D29" location="Instructions!A194" tooltip="Go to Instruction narrative" display="Attachment 17 – Miscellaneous Information"/>
    <hyperlink ref="D34" location="Instructions!A240" tooltip="Go to Instruction narrative" display="Attachment 22 – Step II Notes"/>
    <hyperlink ref="B39" location="'F3000'!A1" display="1.      Form #3000 – Application to Increase Rates"/>
    <hyperlink ref="B45" location="'F3001'!A1" display="2.      Form #3001 – Telephonic Hearing Questionnaire form"/>
    <hyperlink ref="B48" location="Attach1!A1" display="3.   Attachment 1 – Listing of Largest Customers Billed During Latest 12 Months"/>
    <hyperlink ref="D8" location="Instructions!A46" tooltip="Go to Instruction narrative" display="Hearing – Telephonic Hearing Information"/>
    <hyperlink ref="B94" location="AttachAB4!A1" display="6.      Attachment 4 – Public Fire Protection Revenue-Test Year Summary"/>
    <hyperlink ref="B101" location="AttachAB4.1!A1" display="7.   Attachment 4.1 – Public Fire Protection Revenue-Test Year Detail"/>
    <hyperlink ref="B110" location="AttachAB4.2!A1" display="8.   Attachment 4.2 – Private Fire Protection Revenue-Test Year Detail"/>
    <hyperlink ref="B119" location="AttachAB5!A1" display="9.   Attachment 5 – Operating Revenues-Test Year Summary"/>
    <hyperlink ref="B124" location="AttachAB6!A1" display="10.  Attachment 6 – Taxes-Test Year Summary"/>
    <hyperlink ref="B136" location="AttachAB7!A1" display="12.  Attachment 7 – Operating Expenses"/>
    <hyperlink ref="B161" location="AttachAB8.1!A1" display="14.  Attachment 8.1 – Depreciation Accrual and Expenses"/>
    <hyperlink ref="B175" location="AttachAB10!A1" display="16.  Attachment 10 – Estimated Rate Base, Requested Rate of Return and Increase Requested"/>
    <hyperlink ref="B185" location="AttachAB11!A1" display="17.  Attachment 11 – Financing and Debt Summary"/>
    <hyperlink ref="B194" location="AttachAB13!A1" display="19.  Attachment 13 – Miscellaneous "/>
    <hyperlink ref="B211" location="AttachAB15!A1" display="21.  Attachment 15 – Step II Major Plant Detail"/>
    <hyperlink ref="B225" location="AttachAB16!A1" display="22.  Attachment 16 – Step II Summary"/>
    <hyperlink ref="B48:D48" location="Attach1!A1" tooltip="Click to open Attachment 1" display="Attachment 1 – Listing of Largest Customers Billed During Latest 12 Months"/>
    <hyperlink ref="B45:D45" location="Hearing!A1" tooltip="Click to open Hearing" display="Hearing – Telephonic Hearing Information"/>
    <hyperlink ref="B39:D39" location="'F3024'!A1" tooltip="Click to open Form #3024" display="Form #3024 – Application to Increase Rates Form"/>
    <hyperlink ref="B94:D94" location="Attach4!A1" tooltip="Click to open Attachment 4" display="Attachment 4 – Public Fire Protection Revenue-Test Year Summary"/>
    <hyperlink ref="B101:D101" location="Attach5!A1" tooltip="Click to open Attachment 5" display="Attachment 5 – Public Fire Protection Revenue-Test Year Detail"/>
    <hyperlink ref="B110:D110" location="Attach6!A1" tooltip="Click to open Attachment 6" display="Attachment 6 – Private Fire Protection Revenue-Test Year Detail"/>
    <hyperlink ref="B119:D119" location="Attach7!A1" tooltip="Click to open Attachment 7" display="Attachment 7 – Operating Revenues-Test Year Summary"/>
    <hyperlink ref="B124:D124" location="Attach8!A1" tooltip="Click to open Attachment 8" display="Attachment 8 – Taxes-Test Year Summary"/>
    <hyperlink ref="B136:D136" location="Attach10_AB!A1" tooltip="Click to open Attachment 10" display="Attachment 10 – Operating Expenses"/>
    <hyperlink ref="D7" location="Instructions!A39" tooltip="Go to Instruction narrative" display="Form #3024 – Application to Increase Rates Form"/>
    <hyperlink ref="D26" location="Instructions!A175" tooltip="Go to Instruction narrative" display="Attachment 14 – Estimated Rate Base and Increase Requested"/>
    <hyperlink ref="D265" r:id="rId1"/>
    <hyperlink ref="D272" r:id="rId2" display="For general questions about the process of electronic filing or instructions on formatting, etc., please contact the Records Management Unit at (608) 261-8524 or via e-mail at pscrecs@wisconsin.gov."/>
    <hyperlink ref="D273" r:id="rId3" display="mailto:paul.newman@psc.state.wi.us"/>
    <hyperlink ref="B251:D251" location="Attach23!A1" tooltip="Click to go to Attachment22" display="Attachment 23 – Filing the Application to Increase Water Rates (Rate Application)"/>
    <hyperlink ref="B245:D245" location="MainMenu!C32" tooltip="Click to go to Final Edit Checks" display="Run Final Edit"/>
    <hyperlink ref="B161:D161" location="Attach12!A1" display="Attachment 12 – Depreciation Accrual and Expenses"/>
    <hyperlink ref="B175:D175" location="Attach14!A1" display="Attachment 14 – Estimated Rate Base, Requested Rate of Return and Increase Requested"/>
    <hyperlink ref="B185:D185" location="Attach15!A1" display="Attachment 15 – Financing and Debt Summary"/>
    <hyperlink ref="B194:D194" location="Attach17!A1" display="Attachment 17 – Miscellaneous "/>
    <hyperlink ref="B211:D211" location="Attach20!A1" display="Attachment 20 – Step II Major Plant Detail"/>
    <hyperlink ref="B225:D225" location="Attach21!A1" display="Attachment 21 – Step II Summary"/>
    <hyperlink ref="D255" r:id="rId4"/>
    <hyperlink ref="B207" location="AttachAB14!A1" display="20.  Attachment 14 – Notes"/>
    <hyperlink ref="B207:D207" location="Attach19!A1" display="Attachment 19 – Notes"/>
    <hyperlink ref="D31" location="Instructions!A207" display="Attachment 19 - Notes"/>
    <hyperlink ref="D10" location="Instructions!A53" display="Attachment 2A – Consumer Analysis-Actual Latest 12 Months (Volume Sales)"/>
    <hyperlink ref="B54:D54" location="Attach2A!A1" display="Attachment 2A – Consumer Analysis-Actual Latest 12 Months (Volume Sales)"/>
    <hyperlink ref="D11" location="Instructions!A62" display="Attachment 2B - Consumer Analysis - Actual Latest 12 Months (Service Charges)"/>
    <hyperlink ref="B62" location="Attach2B!A1" display="Attachment 2B - Consumer Analysis - Actual Latest 12 Months (Service Charges)"/>
    <hyperlink ref="B71" location="Attach2C!A1" display="Attachment 2C - Sales Historical Data and Forecasts"/>
    <hyperlink ref="D12" location="Instructions!A71" display="Attachment 2C - Sales Historical Data and Forecasts"/>
    <hyperlink ref="D13" location="Instructions!A75" display="Attachment 3A – Consumer Analysis-Test Year (Volume Sales)"/>
    <hyperlink ref="B75:D75" location="Attach3A!A1" display="Attachment 3A – Consumer Analysis-Test Year (Volume Sales) "/>
    <hyperlink ref="D14" location="Instructions!A81" display="Attachment 3B - Consumer Analysis - Test Year (Service Charges)"/>
    <hyperlink ref="B81" location="Attach3B!A1" display="Attachment 3B - Consumer Analysis - Test Year (Service Charges)"/>
    <hyperlink ref="D15" location="Instructions!A88" display="Attachment 3W - Wholesale Revenues"/>
    <hyperlink ref="B88" location="Attach3W!A1" display="Attachment 3W - Wholesale Revenues"/>
    <hyperlink ref="D21" location="Instructions!A131" display="Attachment 9 – Payment in Lieu of Tax Expense"/>
    <hyperlink ref="B131:D131" location="Attach9!A1" display="Attachment 9 – Property in Lieu of Tax Expense"/>
    <hyperlink ref="D25" location="Instructions!A169" display="Attachment 13 –  Accumulated Depreciation, Materials &amp; Supplies Inventory, Regulatory Liability, and Other Adjustments"/>
    <hyperlink ref="D28" location="Instructions!A191" display="Attachment 16 – Impact Fees"/>
    <hyperlink ref="D30" location="Instructions!A203" display="Attachment 18 - Water Conservation Spending"/>
    <hyperlink ref="D32" location="Instructions!A211" display="Attachment 20 – Step II Major Plant Detail"/>
    <hyperlink ref="D33" location="Instructions!A225" display="Attachment 21 – Step II Summary"/>
    <hyperlink ref="D35" location="Instructions!A245" display="Run Final Edit"/>
    <hyperlink ref="D36" location="Instructions!A251" display="Attachment 23 – Directions for Submitting Application to PSC"/>
    <hyperlink ref="B144:D144" location="Attach11!A1" display="Attachment 11 – Utility Plant in Service - Financed by Utility or Municipality"/>
    <hyperlink ref="B154:D154" location="Attach11a!A1" display="Attachment 11a– Utility Plant in Service--Contributed Plant"/>
    <hyperlink ref="B169:D169" location="Attach13!A1" display="Attachment 13 – Accumulated Depreciation, Materials and Supplies Inventory, Regulatory Liability and Other Adjustments"/>
    <hyperlink ref="B191:D191" location="Attach16!A1" display="Attachment 16 – Impact Fees"/>
    <hyperlink ref="B203:D203" location="Attach18!A1" display="Attachment 18 – Water Conservation Spending"/>
    <hyperlink ref="B240:D240" location="Attach22!A1" display="Attachment 22 – Step II Notes"/>
  </hyperlinks>
  <pageMargins left="0.5" right="0.5" top="1" bottom="0.5" header="0.5" footer="0.5"/>
  <pageSetup scale="79" fitToHeight="7" orientation="portrait" useFirstPageNumber="1" r:id="rId5"/>
  <headerFooter alignWithMargins="0">
    <oddHeader xml:space="preserve">&amp;R&amp;8Page &amp;P </oddHeader>
  </headerFooter>
  <rowBreaks count="1" manualBreakCount="1">
    <brk id="263" max="4" man="1"/>
  </rowBreaks>
  <legacyDrawing r:id="rId6"/>
</worksheet>
</file>

<file path=xl/worksheets/sheet5.xml><?xml version="1.0" encoding="utf-8"?>
<worksheet xmlns="http://schemas.openxmlformats.org/spreadsheetml/2006/main" xmlns:r="http://schemas.openxmlformats.org/officeDocument/2006/relationships">
  <sheetPr codeName="Sheet1">
    <pageSetUpPr fitToPage="1"/>
  </sheetPr>
  <dimension ref="A1:G35"/>
  <sheetViews>
    <sheetView showGridLines="0" zoomScale="95" zoomScaleNormal="95" workbookViewId="0">
      <selection activeCell="A26" sqref="A26:C26"/>
    </sheetView>
  </sheetViews>
  <sheetFormatPr defaultRowHeight="15.75"/>
  <cols>
    <col min="1" max="1" width="16.140625" style="13" customWidth="1"/>
    <col min="2" max="2" width="26" style="13" customWidth="1"/>
    <col min="3" max="3" width="36" style="13" customWidth="1"/>
    <col min="4" max="4" width="36.140625" style="13" customWidth="1"/>
    <col min="5" max="16384" width="9.140625" style="13"/>
  </cols>
  <sheetData>
    <row r="1" spans="1:7" ht="74.650000000000006" customHeight="1">
      <c r="A1" s="28"/>
      <c r="B1" s="1869" t="s">
        <v>199</v>
      </c>
      <c r="C1" s="1870"/>
      <c r="D1" s="1870"/>
      <c r="E1" s="72"/>
      <c r="F1" s="73"/>
      <c r="G1" s="74"/>
    </row>
    <row r="2" spans="1:7" ht="13.5" customHeight="1">
      <c r="A2" s="509" t="s">
        <v>1042</v>
      </c>
      <c r="B2" s="28"/>
      <c r="C2" s="28"/>
      <c r="D2" s="28"/>
      <c r="E2" s="28"/>
      <c r="F2" s="73"/>
      <c r="G2" s="74"/>
    </row>
    <row r="3" spans="1:7" ht="12" customHeight="1">
      <c r="A3" s="28"/>
      <c r="B3" s="28"/>
      <c r="C3" s="28"/>
      <c r="D3" s="75" t="s">
        <v>200</v>
      </c>
      <c r="E3" s="28"/>
      <c r="F3" s="73"/>
      <c r="G3" s="74"/>
    </row>
    <row r="4" spans="1:7" ht="38.65" customHeight="1">
      <c r="A4" s="1871" t="s">
        <v>201</v>
      </c>
      <c r="B4" s="1872"/>
      <c r="C4" s="1872"/>
      <c r="D4" s="1873"/>
      <c r="E4" s="28"/>
      <c r="F4" s="28"/>
      <c r="G4" s="74"/>
    </row>
    <row r="5" spans="1:7">
      <c r="A5" s="76" t="s">
        <v>202</v>
      </c>
      <c r="B5" s="77"/>
      <c r="C5" s="77"/>
      <c r="D5" s="78"/>
      <c r="E5" s="28"/>
      <c r="F5" s="28"/>
      <c r="G5" s="74"/>
    </row>
    <row r="6" spans="1:7" ht="16.5" customHeight="1">
      <c r="A6" s="1874" t="str">
        <f>Utility</f>
        <v>MADISON WATER UTILITY</v>
      </c>
      <c r="B6" s="1875"/>
      <c r="C6" s="1875"/>
      <c r="D6" s="1876"/>
      <c r="E6" s="28"/>
      <c r="F6" s="28"/>
      <c r="G6" s="74"/>
    </row>
    <row r="7" spans="1:7">
      <c r="A7" s="76" t="s">
        <v>203</v>
      </c>
      <c r="B7" s="28"/>
      <c r="C7" s="28"/>
      <c r="D7" s="78"/>
      <c r="E7" s="28"/>
      <c r="F7" s="28"/>
      <c r="G7" s="74"/>
    </row>
    <row r="8" spans="1:7" ht="18" customHeight="1">
      <c r="A8" s="79"/>
      <c r="B8" s="28"/>
      <c r="C8" s="80"/>
      <c r="D8" s="81"/>
      <c r="E8" s="28"/>
      <c r="F8" s="28"/>
      <c r="G8" s="74"/>
    </row>
    <row r="9" spans="1:7">
      <c r="A9" s="76" t="s">
        <v>204</v>
      </c>
      <c r="B9" s="77"/>
      <c r="C9" s="77"/>
      <c r="D9" s="78"/>
      <c r="E9" s="28"/>
      <c r="F9" s="28"/>
      <c r="G9" s="74"/>
    </row>
    <row r="10" spans="1:7" ht="101.25" customHeight="1">
      <c r="A10" s="1877" t="s">
        <v>1320</v>
      </c>
      <c r="B10" s="1878"/>
      <c r="C10" s="1878"/>
      <c r="D10" s="1879"/>
      <c r="E10" s="28"/>
      <c r="F10" s="28"/>
      <c r="G10" s="74"/>
    </row>
    <row r="11" spans="1:7">
      <c r="A11" s="1880" t="s">
        <v>205</v>
      </c>
      <c r="B11" s="1881"/>
      <c r="C11" s="1881"/>
      <c r="D11" s="1882"/>
      <c r="E11" s="28"/>
      <c r="F11" s="28"/>
      <c r="G11" s="74"/>
    </row>
    <row r="12" spans="1:7" ht="19.149999999999999" customHeight="1">
      <c r="A12" s="82"/>
      <c r="B12" s="83"/>
      <c r="C12" s="84" t="s">
        <v>206</v>
      </c>
      <c r="D12" s="84" t="s">
        <v>207</v>
      </c>
      <c r="E12" s="28"/>
      <c r="F12" s="28"/>
      <c r="G12" s="74"/>
    </row>
    <row r="13" spans="1:7" ht="24.95" customHeight="1">
      <c r="A13" s="1883" t="s">
        <v>208</v>
      </c>
      <c r="B13" s="1884"/>
      <c r="C13" s="85" t="str">
        <f>A6</f>
        <v>MADISON WATER UTILITY</v>
      </c>
      <c r="D13" s="1826" t="s">
        <v>1304</v>
      </c>
      <c r="E13" s="28"/>
      <c r="F13" s="28"/>
      <c r="G13" s="74"/>
    </row>
    <row r="14" spans="1:7" ht="24.95" customHeight="1">
      <c r="A14" s="1883" t="s">
        <v>209</v>
      </c>
      <c r="B14" s="1884"/>
      <c r="C14" s="1826" t="s">
        <v>1321</v>
      </c>
      <c r="D14" s="1826" t="s">
        <v>1305</v>
      </c>
      <c r="E14" s="28"/>
      <c r="F14" s="28"/>
      <c r="G14" s="74"/>
    </row>
    <row r="15" spans="1:7" ht="24.95" customHeight="1">
      <c r="A15" s="1883" t="s">
        <v>210</v>
      </c>
      <c r="B15" s="1884"/>
      <c r="C15" s="1826" t="s">
        <v>1323</v>
      </c>
      <c r="D15" s="1826" t="s">
        <v>1306</v>
      </c>
      <c r="E15" s="28"/>
      <c r="F15" s="28"/>
      <c r="G15" s="74"/>
    </row>
    <row r="16" spans="1:7" ht="24.95" customHeight="1">
      <c r="A16" s="1891" t="s">
        <v>211</v>
      </c>
      <c r="B16" s="1892"/>
      <c r="C16" s="1887" t="s">
        <v>1322</v>
      </c>
      <c r="D16" s="1887" t="s">
        <v>1307</v>
      </c>
      <c r="E16" s="28"/>
      <c r="F16" s="28"/>
      <c r="G16" s="74"/>
    </row>
    <row r="17" spans="1:7" ht="24.95" customHeight="1">
      <c r="A17" s="1893"/>
      <c r="B17" s="1894"/>
      <c r="C17" s="1888"/>
      <c r="D17" s="1888"/>
      <c r="E17" s="28"/>
      <c r="F17" s="28"/>
      <c r="G17" s="74"/>
    </row>
    <row r="18" spans="1:7" ht="24.95" customHeight="1">
      <c r="A18" s="1883" t="s">
        <v>212</v>
      </c>
      <c r="B18" s="1884"/>
      <c r="C18" s="1827" t="s">
        <v>1324</v>
      </c>
      <c r="D18" s="1827" t="s">
        <v>1308</v>
      </c>
      <c r="E18" s="28"/>
      <c r="F18" s="28"/>
      <c r="G18" s="74"/>
    </row>
    <row r="19" spans="1:7" ht="24.95" customHeight="1">
      <c r="A19" s="1883" t="s">
        <v>213</v>
      </c>
      <c r="B19" s="1884"/>
      <c r="C19" s="1829" t="s">
        <v>1325</v>
      </c>
      <c r="D19" s="86"/>
      <c r="E19" s="28"/>
      <c r="F19" s="28"/>
      <c r="G19" s="74"/>
    </row>
    <row r="20" spans="1:7" ht="24.95" customHeight="1">
      <c r="A20" s="87" t="s">
        <v>214</v>
      </c>
      <c r="B20" s="88"/>
      <c r="C20" s="1829" t="s">
        <v>1326</v>
      </c>
      <c r="D20" s="1828" t="s">
        <v>1309</v>
      </c>
      <c r="E20" s="28"/>
      <c r="F20" s="28"/>
      <c r="G20" s="74"/>
    </row>
    <row r="21" spans="1:7" ht="24.95" customHeight="1">
      <c r="A21" s="1883" t="s">
        <v>215</v>
      </c>
      <c r="B21" s="1884"/>
      <c r="C21" s="1829" t="s">
        <v>1327</v>
      </c>
      <c r="D21" s="1829" t="s">
        <v>1310</v>
      </c>
      <c r="E21" s="28"/>
      <c r="F21" s="28"/>
      <c r="G21" s="74"/>
    </row>
    <row r="22" spans="1:7" ht="24.95" customHeight="1">
      <c r="A22" s="87" t="s">
        <v>216</v>
      </c>
      <c r="B22" s="88"/>
      <c r="C22" s="1830" t="s">
        <v>1328</v>
      </c>
      <c r="D22" s="1830" t="s">
        <v>1311</v>
      </c>
      <c r="E22" s="28"/>
      <c r="F22" s="28"/>
      <c r="G22" s="74"/>
    </row>
    <row r="23" spans="1:7" ht="24.95" customHeight="1">
      <c r="A23" s="1883" t="s">
        <v>217</v>
      </c>
      <c r="B23" s="1884"/>
      <c r="C23" s="1829" t="s">
        <v>1329</v>
      </c>
      <c r="D23" s="1829" t="s">
        <v>1312</v>
      </c>
      <c r="E23" s="28"/>
      <c r="F23" s="28"/>
      <c r="G23" s="74"/>
    </row>
    <row r="24" spans="1:7" ht="24.95" customHeight="1">
      <c r="A24" s="1883" t="s">
        <v>218</v>
      </c>
      <c r="B24" s="1884"/>
      <c r="C24" s="1829" t="s">
        <v>1331</v>
      </c>
      <c r="D24" s="1829" t="s">
        <v>1330</v>
      </c>
      <c r="E24" s="28"/>
      <c r="F24" s="28"/>
      <c r="G24" s="74"/>
    </row>
    <row r="25" spans="1:7" ht="24.95" customHeight="1">
      <c r="A25" s="1885" t="s">
        <v>1031</v>
      </c>
      <c r="B25" s="1886"/>
      <c r="C25" s="1831" t="s">
        <v>1313</v>
      </c>
      <c r="D25" s="1831" t="s">
        <v>1313</v>
      </c>
      <c r="E25" s="28"/>
      <c r="F25" s="28"/>
      <c r="G25" s="74"/>
    </row>
    <row r="26" spans="1:7" ht="45.75" customHeight="1">
      <c r="A26" s="1889"/>
      <c r="B26" s="1889"/>
      <c r="C26" s="1889"/>
      <c r="D26" s="1795"/>
      <c r="E26" s="28"/>
      <c r="F26" s="28"/>
      <c r="G26" s="74"/>
    </row>
    <row r="27" spans="1:7" ht="17.25" customHeight="1">
      <c r="A27" s="1890"/>
      <c r="B27" s="1890"/>
      <c r="C27" s="1890"/>
      <c r="D27" s="1796"/>
      <c r="E27" s="28"/>
      <c r="F27" s="28"/>
      <c r="G27" s="74"/>
    </row>
    <row r="28" spans="1:7" ht="21" customHeight="1">
      <c r="A28" s="1895"/>
      <c r="B28" s="1895"/>
      <c r="C28" s="1895"/>
      <c r="D28" s="89"/>
      <c r="E28" s="28"/>
      <c r="F28" s="28"/>
      <c r="G28" s="74"/>
    </row>
    <row r="29" spans="1:7">
      <c r="A29" s="1890"/>
      <c r="B29" s="1890"/>
      <c r="C29" s="1890"/>
      <c r="D29" s="89"/>
      <c r="E29" s="28"/>
      <c r="F29" s="28"/>
      <c r="G29" s="74"/>
    </row>
    <row r="30" spans="1:7">
      <c r="A30" s="28"/>
      <c r="B30" s="28"/>
      <c r="C30" s="28"/>
      <c r="D30" s="28"/>
      <c r="E30" s="28"/>
      <c r="F30" s="28"/>
      <c r="G30" s="74"/>
    </row>
    <row r="31" spans="1:7">
      <c r="A31" s="28"/>
      <c r="B31" s="28"/>
      <c r="C31" s="28"/>
      <c r="D31" s="28"/>
      <c r="E31" s="28"/>
      <c r="F31" s="28"/>
      <c r="G31" s="74"/>
    </row>
    <row r="32" spans="1:7">
      <c r="A32" s="28"/>
      <c r="B32" s="28"/>
      <c r="C32" s="28"/>
      <c r="D32" s="28"/>
      <c r="E32" s="28"/>
      <c r="F32" s="28"/>
      <c r="G32" s="74"/>
    </row>
    <row r="33" spans="1:7">
      <c r="A33" s="28"/>
      <c r="B33" s="28"/>
      <c r="C33" s="28"/>
      <c r="D33" s="28"/>
      <c r="E33" s="28"/>
      <c r="F33" s="28"/>
      <c r="G33" s="74"/>
    </row>
    <row r="34" spans="1:7">
      <c r="A34" s="74"/>
      <c r="B34" s="74"/>
      <c r="C34" s="74"/>
      <c r="D34" s="74"/>
      <c r="E34" s="74"/>
      <c r="F34" s="74"/>
      <c r="G34" s="74"/>
    </row>
    <row r="35" spans="1:7">
      <c r="A35" s="74"/>
      <c r="B35" s="74"/>
      <c r="C35" s="74"/>
      <c r="D35" s="74"/>
      <c r="E35" s="74"/>
      <c r="F35" s="74"/>
      <c r="G35" s="74"/>
    </row>
  </sheetData>
  <mergeCells count="21">
    <mergeCell ref="A29:C29"/>
    <mergeCell ref="A19:B19"/>
    <mergeCell ref="A21:B21"/>
    <mergeCell ref="A23:B23"/>
    <mergeCell ref="A24:B24"/>
    <mergeCell ref="A15:B15"/>
    <mergeCell ref="A16:B17"/>
    <mergeCell ref="A27:C27"/>
    <mergeCell ref="A28:C28"/>
    <mergeCell ref="A14:B14"/>
    <mergeCell ref="A25:B25"/>
    <mergeCell ref="C16:C17"/>
    <mergeCell ref="A26:C26"/>
    <mergeCell ref="D16:D17"/>
    <mergeCell ref="A18:B18"/>
    <mergeCell ref="B1:D1"/>
    <mergeCell ref="A4:D4"/>
    <mergeCell ref="A6:D6"/>
    <mergeCell ref="A10:D10"/>
    <mergeCell ref="A11:D11"/>
    <mergeCell ref="A13:B13"/>
  </mergeCells>
  <hyperlinks>
    <hyperlink ref="D22" r:id="rId1"/>
    <hyperlink ref="C22" r:id="rId2"/>
  </hyperlinks>
  <printOptions horizontalCentered="1" verticalCentered="1"/>
  <pageMargins left="0.5" right="0.25" top="0.5" bottom="0.5" header="0.25" footer="0.25"/>
  <pageSetup scale="86" orientation="portrait" r:id="rId3"/>
  <headerFooter alignWithMargins="0"/>
  <drawing r:id="rId4"/>
  <legacyDrawing r:id="rId5"/>
  <controls>
    <control shapeId="4111" r:id="rId6" name="chkWater"/>
    <control shapeId="4110" r:id="rId7" name="chkSewer"/>
    <control shapeId="4109" r:id="rId8" name="chkBoth"/>
  </controls>
</worksheet>
</file>

<file path=xl/worksheets/sheet6.xml><?xml version="1.0" encoding="utf-8"?>
<worksheet xmlns="http://schemas.openxmlformats.org/spreadsheetml/2006/main" xmlns:r="http://schemas.openxmlformats.org/officeDocument/2006/relationships">
  <sheetPr codeName="Sheet32">
    <pageSetUpPr fitToPage="1"/>
  </sheetPr>
  <dimension ref="A1:T345"/>
  <sheetViews>
    <sheetView showGridLines="0" topLeftCell="A19" zoomScaleNormal="100" workbookViewId="0">
      <selection activeCell="D35" sqref="D35"/>
    </sheetView>
  </sheetViews>
  <sheetFormatPr defaultRowHeight="12.75"/>
  <cols>
    <col min="1" max="1" width="9.140625" style="29"/>
    <col min="2" max="2" width="8.7109375" style="29" customWidth="1"/>
    <col min="3" max="10" width="9.140625" style="29"/>
    <col min="11" max="11" width="8.7109375" style="29" customWidth="1"/>
    <col min="12" max="12" width="14.7109375" style="29" customWidth="1"/>
    <col min="13" max="13" width="15.7109375" style="29" hidden="1" customWidth="1"/>
    <col min="14" max="15" width="3.7109375" style="29" customWidth="1"/>
    <col min="16" max="16" width="10.85546875" style="29" customWidth="1"/>
    <col min="17" max="16384" width="9.140625" style="29"/>
  </cols>
  <sheetData>
    <row r="1" spans="1:20">
      <c r="A1" s="1167"/>
      <c r="B1" s="460"/>
      <c r="C1" s="460"/>
      <c r="D1" s="460"/>
      <c r="E1" s="460"/>
      <c r="F1" s="460"/>
      <c r="G1" s="460"/>
      <c r="H1" s="460"/>
      <c r="I1" s="460"/>
      <c r="J1" s="460"/>
      <c r="K1" s="460"/>
      <c r="L1" s="460"/>
      <c r="M1" s="460"/>
      <c r="N1" s="460"/>
      <c r="O1" s="460"/>
      <c r="P1" s="1167"/>
      <c r="Q1" s="1167"/>
      <c r="R1" s="1167"/>
    </row>
    <row r="2" spans="1:20" ht="12.75" customHeight="1">
      <c r="A2" s="1167"/>
      <c r="B2" s="460"/>
      <c r="C2" s="460"/>
      <c r="D2" s="460"/>
      <c r="E2" s="1899" t="str">
        <f>Utility</f>
        <v>MADISON WATER UTILITY</v>
      </c>
      <c r="F2" s="1899"/>
      <c r="G2" s="1899"/>
      <c r="H2" s="1899"/>
      <c r="I2" s="1899"/>
      <c r="J2" s="1899"/>
      <c r="K2" s="1899"/>
      <c r="L2" s="460"/>
      <c r="M2" s="460"/>
      <c r="N2" s="460"/>
      <c r="O2" s="460"/>
      <c r="P2" s="1167"/>
      <c r="Q2" s="1167"/>
      <c r="R2" s="1167"/>
    </row>
    <row r="3" spans="1:20">
      <c r="A3" s="1167"/>
      <c r="B3" s="460"/>
      <c r="C3" s="460"/>
      <c r="D3" s="460"/>
      <c r="E3" s="1177"/>
      <c r="F3" s="1177"/>
      <c r="G3" s="1177"/>
      <c r="H3" s="1177"/>
      <c r="I3" s="1177"/>
      <c r="J3" s="460"/>
      <c r="K3" s="460"/>
      <c r="L3" s="460"/>
      <c r="M3" s="460"/>
      <c r="N3" s="460"/>
      <c r="O3" s="460"/>
      <c r="P3" s="1167"/>
      <c r="Q3" s="1167"/>
      <c r="R3" s="1167"/>
    </row>
    <row r="4" spans="1:20">
      <c r="A4" s="1167"/>
      <c r="B4" s="460"/>
      <c r="C4" s="460"/>
      <c r="D4" s="460"/>
      <c r="E4" s="1900" t="s">
        <v>219</v>
      </c>
      <c r="F4" s="1900"/>
      <c r="G4" s="1900"/>
      <c r="H4" s="1900"/>
      <c r="I4" s="1900"/>
      <c r="J4" s="1900"/>
      <c r="K4" s="1900"/>
      <c r="L4" s="715"/>
      <c r="M4" s="460"/>
      <c r="N4" s="460"/>
      <c r="O4" s="460"/>
      <c r="P4" s="1167"/>
      <c r="Q4" s="1167"/>
      <c r="R4" s="1167"/>
    </row>
    <row r="5" spans="1:20" ht="13.9" customHeight="1">
      <c r="A5" s="1167"/>
      <c r="B5" s="460"/>
      <c r="C5" s="460"/>
      <c r="D5" s="460"/>
      <c r="E5" s="460"/>
      <c r="F5" s="460"/>
      <c r="G5" s="460"/>
      <c r="H5" s="460"/>
      <c r="I5" s="460"/>
      <c r="J5" s="460"/>
      <c r="K5" s="460"/>
      <c r="L5" s="460"/>
      <c r="M5" s="460"/>
      <c r="N5" s="460"/>
      <c r="O5" s="460"/>
      <c r="P5" s="1167"/>
      <c r="Q5" s="1167"/>
      <c r="R5" s="1167"/>
    </row>
    <row r="6" spans="1:20" ht="13.5" thickBot="1">
      <c r="A6" s="1167"/>
      <c r="B6" s="467"/>
      <c r="C6" s="467"/>
      <c r="D6" s="467"/>
      <c r="E6" s="467"/>
      <c r="F6" s="467"/>
      <c r="G6" s="467"/>
      <c r="H6" s="467"/>
      <c r="I6" s="467"/>
      <c r="J6" s="467"/>
      <c r="K6" s="467"/>
      <c r="L6" s="467"/>
      <c r="M6" s="467"/>
      <c r="N6" s="460"/>
      <c r="O6" s="460"/>
      <c r="P6" s="1167"/>
      <c r="Q6" s="1167"/>
      <c r="R6" s="1167"/>
    </row>
    <row r="7" spans="1:20" ht="13.5" thickTop="1">
      <c r="A7" s="1167"/>
      <c r="B7" s="1180"/>
      <c r="C7" s="654"/>
      <c r="D7" s="654"/>
      <c r="E7" s="654"/>
      <c r="F7" s="654"/>
      <c r="G7" s="654"/>
      <c r="H7" s="654"/>
      <c r="I7" s="654"/>
      <c r="J7" s="654"/>
      <c r="K7" s="654"/>
      <c r="L7" s="654"/>
      <c r="M7" s="654"/>
      <c r="N7" s="654"/>
      <c r="O7" s="654"/>
      <c r="P7" s="1181"/>
      <c r="Q7" s="1167"/>
      <c r="R7" s="1167"/>
    </row>
    <row r="8" spans="1:20" ht="107.25" customHeight="1">
      <c r="A8" s="1167"/>
      <c r="B8" s="1182"/>
      <c r="C8" s="1905" t="s">
        <v>220</v>
      </c>
      <c r="D8" s="1905"/>
      <c r="E8" s="1905"/>
      <c r="F8" s="1905"/>
      <c r="G8" s="1905"/>
      <c r="H8" s="1905"/>
      <c r="I8" s="1905"/>
      <c r="J8" s="1905"/>
      <c r="K8" s="1905"/>
      <c r="L8" s="1905"/>
      <c r="M8" s="1905"/>
      <c r="N8" s="1905"/>
      <c r="O8" s="1905"/>
      <c r="P8" s="1183"/>
      <c r="Q8" s="1167"/>
      <c r="R8" s="1167"/>
    </row>
    <row r="9" spans="1:20" ht="106.5" customHeight="1">
      <c r="A9" s="1167"/>
      <c r="B9" s="1182"/>
      <c r="C9" s="1905" t="s">
        <v>221</v>
      </c>
      <c r="D9" s="1905"/>
      <c r="E9" s="1905"/>
      <c r="F9" s="1905"/>
      <c r="G9" s="1905"/>
      <c r="H9" s="1905"/>
      <c r="I9" s="1905"/>
      <c r="J9" s="1905"/>
      <c r="K9" s="1905"/>
      <c r="L9" s="1905"/>
      <c r="M9" s="1905"/>
      <c r="N9" s="1905"/>
      <c r="O9" s="1905"/>
      <c r="P9" s="1183"/>
      <c r="Q9" s="1167"/>
      <c r="R9" s="1167"/>
    </row>
    <row r="10" spans="1:20" ht="15" customHeight="1">
      <c r="A10" s="1167"/>
      <c r="B10" s="1182"/>
      <c r="C10" s="1187"/>
      <c r="D10" s="1187"/>
      <c r="E10" s="1187"/>
      <c r="F10" s="1187"/>
      <c r="G10" s="1187"/>
      <c r="H10" s="1187"/>
      <c r="I10" s="1187"/>
      <c r="J10" s="1187"/>
      <c r="K10" s="1187"/>
      <c r="L10" s="1187"/>
      <c r="M10" s="1187"/>
      <c r="N10" s="1187"/>
      <c r="O10" s="1187"/>
      <c r="P10" s="1183"/>
      <c r="Q10" s="1167"/>
      <c r="R10" s="1167"/>
    </row>
    <row r="11" spans="1:20" ht="20.100000000000001" customHeight="1">
      <c r="A11" s="1167"/>
      <c r="B11" s="1896" t="s">
        <v>222</v>
      </c>
      <c r="C11" s="1897"/>
      <c r="D11" s="1897"/>
      <c r="E11" s="1897"/>
      <c r="F11" s="1897"/>
      <c r="G11" s="1897"/>
      <c r="H11" s="1897"/>
      <c r="I11" s="1897"/>
      <c r="J11" s="1897"/>
      <c r="K11" s="1897"/>
      <c r="L11" s="1897"/>
      <c r="M11" s="1897"/>
      <c r="N11" s="1897"/>
      <c r="O11" s="1897"/>
      <c r="P11" s="1898"/>
      <c r="Q11" s="1167"/>
      <c r="R11" s="1167"/>
      <c r="T11" s="1604">
        <v>2</v>
      </c>
    </row>
    <row r="12" spans="1:20" ht="49.9" customHeight="1">
      <c r="A12" s="1167"/>
      <c r="B12" s="1907"/>
      <c r="C12" s="1908"/>
      <c r="D12" s="1909" t="s">
        <v>223</v>
      </c>
      <c r="E12" s="1910"/>
      <c r="F12" s="1910"/>
      <c r="G12" s="1910"/>
      <c r="H12" s="1910"/>
      <c r="I12" s="1910"/>
      <c r="J12" s="1910"/>
      <c r="K12" s="1910"/>
      <c r="L12" s="1910"/>
      <c r="M12" s="1910"/>
      <c r="N12" s="514"/>
      <c r="O12" s="514"/>
      <c r="P12" s="1183"/>
      <c r="Q12" s="1167"/>
      <c r="R12" s="1167"/>
    </row>
    <row r="13" spans="1:20" ht="16.899999999999999" customHeight="1">
      <c r="A13" s="1167"/>
      <c r="B13" s="1907"/>
      <c r="C13" s="1908"/>
      <c r="D13" s="1901" t="s">
        <v>224</v>
      </c>
      <c r="E13" s="1906"/>
      <c r="F13" s="1906"/>
      <c r="G13" s="1906"/>
      <c r="H13" s="1906"/>
      <c r="I13" s="1906"/>
      <c r="J13" s="1906"/>
      <c r="K13" s="1906"/>
      <c r="L13" s="1906"/>
      <c r="M13" s="1906"/>
      <c r="N13" s="1178"/>
      <c r="O13" s="514"/>
      <c r="P13" s="1183"/>
      <c r="Q13" s="1167"/>
      <c r="R13" s="1167"/>
    </row>
    <row r="14" spans="1:20">
      <c r="A14" s="1167"/>
      <c r="B14" s="1907"/>
      <c r="C14" s="1908"/>
      <c r="D14" s="1906"/>
      <c r="E14" s="1906"/>
      <c r="F14" s="1906"/>
      <c r="G14" s="1906"/>
      <c r="H14" s="1906"/>
      <c r="I14" s="1906"/>
      <c r="J14" s="1906"/>
      <c r="K14" s="1906"/>
      <c r="L14" s="1906"/>
      <c r="M14" s="1906"/>
      <c r="N14" s="1178"/>
      <c r="O14" s="514"/>
      <c r="P14" s="1183"/>
      <c r="Q14" s="1167"/>
      <c r="R14" s="1167"/>
    </row>
    <row r="15" spans="1:20">
      <c r="A15" s="1167"/>
      <c r="B15" s="1907"/>
      <c r="C15" s="1908"/>
      <c r="D15" s="1901" t="s">
        <v>225</v>
      </c>
      <c r="E15" s="1902"/>
      <c r="F15" s="1902"/>
      <c r="G15" s="1902"/>
      <c r="H15" s="1902"/>
      <c r="I15" s="1902"/>
      <c r="J15" s="1902"/>
      <c r="K15" s="1902"/>
      <c r="L15" s="1902"/>
      <c r="M15" s="1902"/>
      <c r="N15" s="1178"/>
      <c r="O15" s="514"/>
      <c r="P15" s="1183"/>
      <c r="Q15" s="1167"/>
      <c r="R15" s="1167"/>
    </row>
    <row r="16" spans="1:20">
      <c r="A16" s="1167"/>
      <c r="B16" s="1907"/>
      <c r="C16" s="1908"/>
      <c r="D16" s="1902"/>
      <c r="E16" s="1902"/>
      <c r="F16" s="1902"/>
      <c r="G16" s="1902"/>
      <c r="H16" s="1902"/>
      <c r="I16" s="1902"/>
      <c r="J16" s="1902"/>
      <c r="K16" s="1902"/>
      <c r="L16" s="1902"/>
      <c r="M16" s="1902"/>
      <c r="N16" s="1178"/>
      <c r="O16" s="514"/>
      <c r="P16" s="1183"/>
      <c r="Q16" s="1167"/>
      <c r="R16" s="1167"/>
    </row>
    <row r="17" spans="1:18">
      <c r="A17" s="1167"/>
      <c r="B17" s="1907"/>
      <c r="C17" s="1908"/>
      <c r="D17" s="1901" t="s">
        <v>226</v>
      </c>
      <c r="E17" s="1902"/>
      <c r="F17" s="1902"/>
      <c r="G17" s="1902"/>
      <c r="H17" s="1902"/>
      <c r="I17" s="1902"/>
      <c r="J17" s="1902"/>
      <c r="K17" s="1902"/>
      <c r="L17" s="1902"/>
      <c r="M17" s="1902"/>
      <c r="N17" s="1178"/>
      <c r="O17" s="514"/>
      <c r="P17" s="1183"/>
      <c r="Q17" s="1167"/>
      <c r="R17" s="1167"/>
    </row>
    <row r="18" spans="1:18">
      <c r="A18" s="1167"/>
      <c r="B18" s="1907"/>
      <c r="C18" s="1908"/>
      <c r="D18" s="1902"/>
      <c r="E18" s="1902"/>
      <c r="F18" s="1902"/>
      <c r="G18" s="1902"/>
      <c r="H18" s="1902"/>
      <c r="I18" s="1902"/>
      <c r="J18" s="1902"/>
      <c r="K18" s="1902"/>
      <c r="L18" s="1902"/>
      <c r="M18" s="1902"/>
      <c r="N18" s="1178"/>
      <c r="O18" s="514"/>
      <c r="P18" s="1183"/>
      <c r="Q18" s="1167"/>
      <c r="R18" s="1167"/>
    </row>
    <row r="19" spans="1:18">
      <c r="A19" s="1167"/>
      <c r="B19" s="1907"/>
      <c r="C19" s="1908"/>
      <c r="D19" s="1902"/>
      <c r="E19" s="1902"/>
      <c r="F19" s="1902"/>
      <c r="G19" s="1902"/>
      <c r="H19" s="1902"/>
      <c r="I19" s="1902"/>
      <c r="J19" s="1902"/>
      <c r="K19" s="1902"/>
      <c r="L19" s="1902"/>
      <c r="M19" s="1902"/>
      <c r="N19" s="1178"/>
      <c r="O19" s="514"/>
      <c r="P19" s="1183"/>
      <c r="Q19" s="1167"/>
      <c r="R19" s="1167"/>
    </row>
    <row r="20" spans="1:18">
      <c r="A20" s="1167"/>
      <c r="B20" s="1907"/>
      <c r="C20" s="1908"/>
      <c r="D20" s="1901" t="s">
        <v>227</v>
      </c>
      <c r="E20" s="1902"/>
      <c r="F20" s="1902"/>
      <c r="G20" s="1902"/>
      <c r="H20" s="1902"/>
      <c r="I20" s="1902"/>
      <c r="J20" s="1902"/>
      <c r="K20" s="1902"/>
      <c r="L20" s="1902"/>
      <c r="M20" s="1902"/>
      <c r="N20" s="1178"/>
      <c r="O20" s="514"/>
      <c r="P20" s="1183"/>
      <c r="Q20" s="1167"/>
      <c r="R20" s="1167"/>
    </row>
    <row r="21" spans="1:18" ht="18" customHeight="1">
      <c r="A21" s="1167"/>
      <c r="B21" s="1907"/>
      <c r="C21" s="1908"/>
      <c r="D21" s="1902"/>
      <c r="E21" s="1902"/>
      <c r="F21" s="1902"/>
      <c r="G21" s="1902"/>
      <c r="H21" s="1902"/>
      <c r="I21" s="1902"/>
      <c r="J21" s="1902"/>
      <c r="K21" s="1902"/>
      <c r="L21" s="1902"/>
      <c r="M21" s="1902"/>
      <c r="N21" s="1178"/>
      <c r="O21" s="514"/>
      <c r="P21" s="1183"/>
      <c r="Q21" s="1167"/>
      <c r="R21" s="1167"/>
    </row>
    <row r="22" spans="1:18">
      <c r="A22" s="1167"/>
      <c r="B22" s="1907"/>
      <c r="C22" s="1908"/>
      <c r="D22" s="1903" t="s">
        <v>228</v>
      </c>
      <c r="E22" s="1904"/>
      <c r="F22" s="1904"/>
      <c r="G22" s="1904"/>
      <c r="H22" s="1904"/>
      <c r="I22" s="1904"/>
      <c r="J22" s="1904"/>
      <c r="K22" s="1904"/>
      <c r="L22" s="1904"/>
      <c r="M22" s="1904"/>
      <c r="N22" s="514"/>
      <c r="O22" s="514"/>
      <c r="P22" s="1183"/>
      <c r="Q22" s="1167"/>
      <c r="R22" s="1167"/>
    </row>
    <row r="23" spans="1:18">
      <c r="A23" s="1167"/>
      <c r="B23" s="1907"/>
      <c r="C23" s="1908"/>
      <c r="D23" s="1904"/>
      <c r="E23" s="1904"/>
      <c r="F23" s="1904"/>
      <c r="G23" s="1904"/>
      <c r="H23" s="1904"/>
      <c r="I23" s="1904"/>
      <c r="J23" s="1904"/>
      <c r="K23" s="1904"/>
      <c r="L23" s="1904"/>
      <c r="M23" s="1904"/>
      <c r="N23" s="514"/>
      <c r="O23" s="514"/>
      <c r="P23" s="1183"/>
      <c r="Q23" s="1167"/>
      <c r="R23" s="1167"/>
    </row>
    <row r="24" spans="1:18" ht="22.15" customHeight="1">
      <c r="A24" s="1167"/>
      <c r="B24" s="1907"/>
      <c r="C24" s="1908"/>
      <c r="D24" s="1904"/>
      <c r="E24" s="1904"/>
      <c r="F24" s="1904"/>
      <c r="G24" s="1904"/>
      <c r="H24" s="1904"/>
      <c r="I24" s="1904"/>
      <c r="J24" s="1904"/>
      <c r="K24" s="1904"/>
      <c r="L24" s="1904"/>
      <c r="M24" s="1904"/>
      <c r="N24" s="514"/>
      <c r="O24" s="514"/>
      <c r="P24" s="1183"/>
      <c r="Q24" s="1167"/>
      <c r="R24" s="1167"/>
    </row>
    <row r="25" spans="1:18" ht="2.65" customHeight="1">
      <c r="A25" s="1167"/>
      <c r="B25" s="1907"/>
      <c r="C25" s="1908"/>
      <c r="D25" s="514"/>
      <c r="E25" s="514"/>
      <c r="F25" s="514"/>
      <c r="G25" s="514"/>
      <c r="H25" s="514"/>
      <c r="I25" s="514"/>
      <c r="J25" s="514"/>
      <c r="K25" s="514"/>
      <c r="L25" s="514"/>
      <c r="M25" s="514"/>
      <c r="N25" s="514"/>
      <c r="O25" s="514"/>
      <c r="P25" s="1183"/>
      <c r="Q25" s="1167"/>
      <c r="R25" s="1167"/>
    </row>
    <row r="26" spans="1:18" hidden="1">
      <c r="A26" s="1167"/>
      <c r="B26" s="1907"/>
      <c r="C26" s="1908"/>
      <c r="D26" s="514"/>
      <c r="E26" s="514"/>
      <c r="F26" s="514"/>
      <c r="G26" s="514"/>
      <c r="H26" s="514"/>
      <c r="I26" s="514"/>
      <c r="J26" s="514"/>
      <c r="K26" s="514"/>
      <c r="L26" s="514"/>
      <c r="M26" s="514"/>
      <c r="N26" s="514"/>
      <c r="O26" s="514"/>
      <c r="P26" s="1183"/>
      <c r="Q26" s="1167"/>
      <c r="R26" s="1167"/>
    </row>
    <row r="27" spans="1:18">
      <c r="A27" s="1167"/>
      <c r="B27" s="548"/>
      <c r="C27" s="514"/>
      <c r="D27" s="1901" t="s">
        <v>1335</v>
      </c>
      <c r="E27" s="1906"/>
      <c r="F27" s="1906"/>
      <c r="G27" s="1906"/>
      <c r="H27" s="1906"/>
      <c r="I27" s="1906"/>
      <c r="J27" s="1906"/>
      <c r="K27" s="1906"/>
      <c r="L27" s="1906"/>
      <c r="M27" s="1906"/>
      <c r="N27" s="1178"/>
      <c r="O27" s="514"/>
      <c r="P27" s="1183"/>
      <c r="Q27" s="1167"/>
      <c r="R27" s="1167"/>
    </row>
    <row r="28" spans="1:18">
      <c r="A28" s="1167"/>
      <c r="B28" s="548"/>
      <c r="C28" s="514"/>
      <c r="D28" s="1901"/>
      <c r="E28" s="1906"/>
      <c r="F28" s="1906"/>
      <c r="G28" s="1906"/>
      <c r="H28" s="1906"/>
      <c r="I28" s="1906"/>
      <c r="J28" s="1906"/>
      <c r="K28" s="1906"/>
      <c r="L28" s="1906"/>
      <c r="M28" s="1906"/>
      <c r="N28" s="1178"/>
      <c r="O28" s="514"/>
      <c r="P28" s="1183"/>
      <c r="Q28" s="1167"/>
      <c r="R28" s="1167"/>
    </row>
    <row r="29" spans="1:18">
      <c r="A29" s="1167"/>
      <c r="B29" s="548"/>
      <c r="C29" s="514"/>
      <c r="D29" s="1901"/>
      <c r="E29" s="1906"/>
      <c r="F29" s="1906"/>
      <c r="G29" s="1906"/>
      <c r="H29" s="1906"/>
      <c r="I29" s="1906"/>
      <c r="J29" s="1906"/>
      <c r="K29" s="1906"/>
      <c r="L29" s="1906"/>
      <c r="M29" s="1906"/>
      <c r="N29" s="1178"/>
      <c r="O29" s="514"/>
      <c r="P29" s="1183"/>
      <c r="Q29" s="1167"/>
      <c r="R29" s="1167"/>
    </row>
    <row r="30" spans="1:18">
      <c r="A30" s="1167"/>
      <c r="B30" s="548"/>
      <c r="C30" s="514"/>
      <c r="D30" s="1901"/>
      <c r="E30" s="1906"/>
      <c r="F30" s="1906"/>
      <c r="G30" s="1906"/>
      <c r="H30" s="1906"/>
      <c r="I30" s="1906"/>
      <c r="J30" s="1906"/>
      <c r="K30" s="1906"/>
      <c r="L30" s="1906"/>
      <c r="M30" s="1906"/>
      <c r="N30" s="1178"/>
      <c r="O30" s="514"/>
      <c r="P30" s="1183"/>
      <c r="Q30" s="1167"/>
      <c r="R30" s="1167"/>
    </row>
    <row r="31" spans="1:18">
      <c r="A31" s="1167"/>
      <c r="B31" s="548"/>
      <c r="C31" s="514"/>
      <c r="D31" s="1906"/>
      <c r="E31" s="1906"/>
      <c r="F31" s="1906"/>
      <c r="G31" s="1906"/>
      <c r="H31" s="1906"/>
      <c r="I31" s="1906"/>
      <c r="J31" s="1906"/>
      <c r="K31" s="1906"/>
      <c r="L31" s="1906"/>
      <c r="M31" s="1906"/>
      <c r="N31" s="1178"/>
      <c r="O31" s="514"/>
      <c r="P31" s="1183"/>
      <c r="Q31" s="1167"/>
      <c r="R31" s="1167"/>
    </row>
    <row r="32" spans="1:18">
      <c r="A32" s="1167"/>
      <c r="B32" s="548"/>
      <c r="C32" s="514"/>
      <c r="D32" s="1906"/>
      <c r="E32" s="1906"/>
      <c r="F32" s="1906"/>
      <c r="G32" s="1906"/>
      <c r="H32" s="1906"/>
      <c r="I32" s="1906"/>
      <c r="J32" s="1906"/>
      <c r="K32" s="1906"/>
      <c r="L32" s="1906"/>
      <c r="M32" s="1906"/>
      <c r="N32" s="1178"/>
      <c r="O32" s="514"/>
      <c r="P32" s="1183"/>
      <c r="Q32" s="1167"/>
      <c r="R32" s="1167"/>
    </row>
    <row r="33" spans="1:18">
      <c r="A33" s="1167"/>
      <c r="B33" s="548"/>
      <c r="C33" s="514"/>
      <c r="D33" s="1906"/>
      <c r="E33" s="1906"/>
      <c r="F33" s="1906"/>
      <c r="G33" s="1906"/>
      <c r="H33" s="1906"/>
      <c r="I33" s="1906"/>
      <c r="J33" s="1906"/>
      <c r="K33" s="1906"/>
      <c r="L33" s="1906"/>
      <c r="M33" s="1906"/>
      <c r="N33" s="1178"/>
      <c r="O33" s="514"/>
      <c r="P33" s="1183"/>
      <c r="Q33" s="1167"/>
      <c r="R33" s="1167"/>
    </row>
    <row r="34" spans="1:18">
      <c r="A34" s="1167"/>
      <c r="B34" s="548"/>
      <c r="C34" s="514"/>
      <c r="D34" s="1906"/>
      <c r="E34" s="1906"/>
      <c r="F34" s="1906"/>
      <c r="G34" s="1906"/>
      <c r="H34" s="1906"/>
      <c r="I34" s="1906"/>
      <c r="J34" s="1906"/>
      <c r="K34" s="1906"/>
      <c r="L34" s="1906"/>
      <c r="M34" s="1906"/>
      <c r="N34" s="1178"/>
      <c r="O34" s="514"/>
      <c r="P34" s="1183"/>
      <c r="Q34" s="1167"/>
      <c r="R34" s="1167"/>
    </row>
    <row r="35" spans="1:18">
      <c r="A35" s="1167"/>
      <c r="B35" s="548"/>
      <c r="C35" s="514"/>
      <c r="D35" s="514"/>
      <c r="E35" s="514"/>
      <c r="F35" s="514"/>
      <c r="G35" s="514"/>
      <c r="H35" s="514"/>
      <c r="I35" s="514"/>
      <c r="J35" s="514"/>
      <c r="K35" s="514"/>
      <c r="L35" s="514"/>
      <c r="M35" s="514"/>
      <c r="N35" s="514"/>
      <c r="O35" s="514"/>
      <c r="P35" s="1183"/>
      <c r="Q35" s="1167"/>
      <c r="R35" s="1167"/>
    </row>
    <row r="36" spans="1:18">
      <c r="A36" s="1167"/>
      <c r="B36" s="548"/>
      <c r="C36" s="514"/>
      <c r="D36" s="514"/>
      <c r="E36" s="514"/>
      <c r="F36" s="514"/>
      <c r="G36" s="514"/>
      <c r="H36" s="514"/>
      <c r="I36" s="514"/>
      <c r="J36" s="514"/>
      <c r="K36" s="514"/>
      <c r="L36" s="514"/>
      <c r="M36" s="514"/>
      <c r="N36" s="514"/>
      <c r="O36" s="514"/>
      <c r="P36" s="1183"/>
      <c r="Q36" s="1167"/>
      <c r="R36" s="1167"/>
    </row>
    <row r="37" spans="1:18">
      <c r="A37" s="1167"/>
      <c r="B37" s="548"/>
      <c r="C37" s="514"/>
      <c r="D37" s="514"/>
      <c r="E37" s="514"/>
      <c r="F37" s="514"/>
      <c r="G37" s="514"/>
      <c r="H37" s="514"/>
      <c r="I37" s="514"/>
      <c r="J37" s="514"/>
      <c r="K37" s="514"/>
      <c r="L37" s="514"/>
      <c r="M37" s="514"/>
      <c r="N37" s="514"/>
      <c r="O37" s="514"/>
      <c r="P37" s="1183"/>
      <c r="Q37" s="1167"/>
      <c r="R37" s="1167"/>
    </row>
    <row r="38" spans="1:18">
      <c r="A38" s="1167"/>
      <c r="B38" s="548"/>
      <c r="C38" s="514"/>
      <c r="D38" s="514"/>
      <c r="E38" s="514"/>
      <c r="F38" s="514"/>
      <c r="G38" s="514"/>
      <c r="H38" s="514"/>
      <c r="I38" s="514"/>
      <c r="J38" s="514"/>
      <c r="K38" s="514"/>
      <c r="L38" s="514"/>
      <c r="M38" s="514"/>
      <c r="N38" s="514"/>
      <c r="O38" s="514"/>
      <c r="P38" s="1183"/>
      <c r="Q38" s="1167"/>
      <c r="R38" s="1167"/>
    </row>
    <row r="39" spans="1:18">
      <c r="A39" s="1167"/>
      <c r="B39" s="1182"/>
      <c r="C39" s="1179"/>
      <c r="D39" s="1179"/>
      <c r="E39" s="1179"/>
      <c r="F39" s="1179"/>
      <c r="G39" s="1179"/>
      <c r="H39" s="1179"/>
      <c r="I39" s="1179"/>
      <c r="J39" s="1179"/>
      <c r="K39" s="1179"/>
      <c r="L39" s="1179"/>
      <c r="M39" s="1179"/>
      <c r="N39" s="1179"/>
      <c r="O39" s="1179"/>
      <c r="P39" s="1183"/>
      <c r="Q39" s="1167"/>
      <c r="R39" s="1167"/>
    </row>
    <row r="40" spans="1:18">
      <c r="A40" s="1167"/>
      <c r="B40" s="1182"/>
      <c r="C40" s="1179"/>
      <c r="D40" s="1179"/>
      <c r="E40" s="1179"/>
      <c r="F40" s="1179"/>
      <c r="G40" s="1179"/>
      <c r="H40" s="1179"/>
      <c r="I40" s="1179"/>
      <c r="J40" s="1179"/>
      <c r="K40" s="1179"/>
      <c r="L40" s="1179"/>
      <c r="M40" s="1179"/>
      <c r="N40" s="1179"/>
      <c r="O40" s="1179"/>
      <c r="P40" s="1183"/>
      <c r="Q40" s="1167"/>
      <c r="R40" s="1167"/>
    </row>
    <row r="41" spans="1:18" ht="13.5" thickBot="1">
      <c r="A41" s="1167"/>
      <c r="B41" s="1184"/>
      <c r="C41" s="1185"/>
      <c r="D41" s="1185"/>
      <c r="E41" s="1185"/>
      <c r="F41" s="1185"/>
      <c r="G41" s="1185"/>
      <c r="H41" s="1185"/>
      <c r="I41" s="1185"/>
      <c r="J41" s="1185"/>
      <c r="K41" s="1185"/>
      <c r="L41" s="1185"/>
      <c r="M41" s="1185"/>
      <c r="N41" s="1185"/>
      <c r="O41" s="1185"/>
      <c r="P41" s="1186"/>
      <c r="Q41" s="1167"/>
      <c r="R41" s="1167"/>
    </row>
    <row r="42" spans="1:18" ht="13.5" thickTop="1">
      <c r="A42" s="1167"/>
      <c r="B42" s="1167"/>
      <c r="C42" s="1167"/>
      <c r="D42" s="1167"/>
      <c r="E42" s="1167"/>
      <c r="F42" s="1167"/>
      <c r="G42" s="1167"/>
      <c r="H42" s="1167"/>
      <c r="I42" s="1167"/>
      <c r="J42" s="1167"/>
      <c r="K42" s="1167"/>
      <c r="L42" s="1167"/>
      <c r="M42" s="1167"/>
      <c r="N42" s="1167"/>
      <c r="O42" s="1167"/>
      <c r="P42" s="1167"/>
      <c r="Q42" s="1167"/>
      <c r="R42" s="1167"/>
    </row>
    <row r="43" spans="1:18">
      <c r="A43" s="1167"/>
      <c r="B43" s="1167"/>
      <c r="C43" s="1167"/>
      <c r="D43" s="1167"/>
      <c r="E43" s="1167"/>
      <c r="F43" s="1167"/>
      <c r="G43" s="1167"/>
      <c r="H43" s="1167"/>
      <c r="I43" s="1167"/>
      <c r="J43" s="1167"/>
      <c r="K43" s="1167"/>
      <c r="L43" s="1167"/>
      <c r="M43" s="1167"/>
      <c r="N43" s="1167"/>
      <c r="O43" s="1167"/>
      <c r="P43" s="1167"/>
      <c r="Q43" s="1167"/>
      <c r="R43" s="1167"/>
    </row>
    <row r="44" spans="1:18">
      <c r="A44" s="1167"/>
      <c r="B44" s="1167"/>
      <c r="C44" s="1167"/>
      <c r="D44" s="1167"/>
      <c r="E44" s="1167"/>
      <c r="F44" s="1167"/>
      <c r="G44" s="1167"/>
      <c r="H44" s="1167"/>
      <c r="I44" s="1167"/>
      <c r="J44" s="1167"/>
      <c r="K44" s="1167"/>
      <c r="L44" s="1167"/>
      <c r="M44" s="1167"/>
      <c r="N44" s="1167"/>
      <c r="O44" s="1167"/>
      <c r="P44" s="1167"/>
      <c r="Q44" s="1167"/>
      <c r="R44" s="1167"/>
    </row>
    <row r="45" spans="1:18">
      <c r="A45" s="1167"/>
      <c r="B45" s="1167"/>
      <c r="C45" s="1167"/>
      <c r="D45" s="1167"/>
      <c r="E45" s="1167"/>
      <c r="F45" s="1167"/>
      <c r="G45" s="1167"/>
      <c r="H45" s="1167"/>
      <c r="I45" s="1167"/>
      <c r="J45" s="1167"/>
      <c r="K45" s="1167"/>
      <c r="L45" s="1167"/>
      <c r="M45" s="1167"/>
      <c r="N45" s="1167"/>
      <c r="O45" s="1167"/>
      <c r="P45" s="1167"/>
      <c r="Q45" s="1167"/>
      <c r="R45" s="1167"/>
    </row>
    <row r="46" spans="1:18">
      <c r="A46" s="1167"/>
      <c r="B46" s="1167"/>
      <c r="C46" s="1167"/>
      <c r="D46" s="1167"/>
      <c r="E46" s="1167"/>
      <c r="F46" s="1167"/>
      <c r="G46" s="1167"/>
      <c r="H46" s="1167"/>
      <c r="I46" s="1167"/>
      <c r="J46" s="1167"/>
      <c r="K46" s="1167"/>
      <c r="L46" s="1167"/>
      <c r="M46" s="1167"/>
      <c r="N46" s="1167"/>
      <c r="O46" s="1167"/>
      <c r="P46" s="1167"/>
      <c r="Q46" s="1167"/>
      <c r="R46" s="1167"/>
    </row>
    <row r="47" spans="1:18">
      <c r="A47" s="1167"/>
      <c r="B47" s="1167"/>
      <c r="C47" s="1167"/>
      <c r="D47" s="1167"/>
      <c r="E47" s="1167"/>
      <c r="F47" s="1167"/>
      <c r="G47" s="1167"/>
      <c r="H47" s="1167"/>
      <c r="I47" s="1167"/>
      <c r="J47" s="1167"/>
      <c r="K47" s="1167"/>
      <c r="L47" s="1167"/>
      <c r="M47" s="1167"/>
      <c r="N47" s="1167"/>
      <c r="O47" s="1167"/>
      <c r="P47" s="1167"/>
      <c r="Q47" s="1167"/>
      <c r="R47" s="1167"/>
    </row>
    <row r="48" spans="1:18">
      <c r="A48" s="1167"/>
      <c r="B48" s="1167"/>
      <c r="C48" s="1167"/>
      <c r="D48" s="1167"/>
      <c r="E48" s="1167"/>
      <c r="F48" s="1167"/>
      <c r="G48" s="1167"/>
      <c r="H48" s="1167"/>
      <c r="I48" s="1167"/>
      <c r="J48" s="1167"/>
      <c r="K48" s="1167"/>
      <c r="L48" s="1167"/>
      <c r="M48" s="1167"/>
      <c r="N48" s="1167"/>
      <c r="O48" s="1167"/>
      <c r="P48" s="1167"/>
      <c r="Q48" s="1167"/>
      <c r="R48" s="1167"/>
    </row>
    <row r="49" spans="1:18">
      <c r="A49" s="1167"/>
      <c r="B49" s="1167"/>
      <c r="C49" s="1167"/>
      <c r="D49" s="1167"/>
      <c r="E49" s="1167"/>
      <c r="F49" s="1167"/>
      <c r="G49" s="1167"/>
      <c r="H49" s="1167"/>
      <c r="I49" s="1167"/>
      <c r="J49" s="1167"/>
      <c r="K49" s="1167"/>
      <c r="L49" s="1167"/>
      <c r="M49" s="1167"/>
      <c r="N49" s="1167"/>
      <c r="O49" s="1167"/>
      <c r="P49" s="1167"/>
      <c r="Q49" s="1167"/>
      <c r="R49" s="1167"/>
    </row>
    <row r="50" spans="1:18">
      <c r="A50" s="1167"/>
      <c r="B50" s="1167"/>
      <c r="C50" s="1167"/>
      <c r="D50" s="1167"/>
      <c r="E50" s="1167"/>
      <c r="F50" s="1167"/>
      <c r="G50" s="1167"/>
      <c r="H50" s="1167"/>
      <c r="I50" s="1167"/>
      <c r="J50" s="1167"/>
      <c r="K50" s="1167"/>
      <c r="L50" s="1167"/>
      <c r="M50" s="1167"/>
      <c r="N50" s="1167"/>
      <c r="O50" s="1167"/>
      <c r="P50" s="1167"/>
      <c r="Q50" s="1167"/>
      <c r="R50" s="1167"/>
    </row>
    <row r="51" spans="1:18">
      <c r="A51" s="1167"/>
      <c r="B51" s="1167"/>
      <c r="C51" s="1167"/>
      <c r="D51" s="1167"/>
      <c r="E51" s="1167"/>
      <c r="F51" s="1167"/>
      <c r="G51" s="1167"/>
      <c r="H51" s="1167"/>
      <c r="I51" s="1167"/>
      <c r="J51" s="1167"/>
      <c r="K51" s="1167"/>
      <c r="L51" s="1167"/>
      <c r="M51" s="1167"/>
      <c r="N51" s="1167"/>
      <c r="O51" s="1167"/>
      <c r="P51" s="1167"/>
      <c r="Q51" s="1167"/>
      <c r="R51" s="1167"/>
    </row>
    <row r="52" spans="1:18">
      <c r="A52" s="1167"/>
      <c r="B52" s="1167"/>
      <c r="C52" s="1167"/>
      <c r="D52" s="1167"/>
      <c r="E52" s="1167"/>
      <c r="F52" s="1167"/>
      <c r="G52" s="1167"/>
      <c r="H52" s="1167"/>
      <c r="I52" s="1167"/>
      <c r="J52" s="1167"/>
      <c r="K52" s="1167"/>
      <c r="L52" s="1167"/>
      <c r="M52" s="1167"/>
      <c r="N52" s="1167"/>
      <c r="O52" s="1167"/>
      <c r="P52" s="1167"/>
      <c r="Q52" s="1167"/>
      <c r="R52" s="1167"/>
    </row>
    <row r="53" spans="1:18">
      <c r="A53" s="1167"/>
      <c r="B53" s="1167"/>
      <c r="C53" s="1167"/>
      <c r="D53" s="1167"/>
      <c r="E53" s="1167"/>
      <c r="F53" s="1167"/>
      <c r="G53" s="1167"/>
      <c r="H53" s="1167"/>
      <c r="I53" s="1167"/>
      <c r="J53" s="1167"/>
      <c r="K53" s="1167"/>
      <c r="L53" s="1167"/>
      <c r="M53" s="1167"/>
      <c r="N53" s="1167"/>
      <c r="O53" s="1167"/>
      <c r="P53" s="1167"/>
      <c r="Q53" s="1167"/>
      <c r="R53" s="1167"/>
    </row>
    <row r="54" spans="1:18">
      <c r="A54" s="1167"/>
      <c r="B54" s="1167"/>
      <c r="C54" s="1167"/>
      <c r="D54" s="1167"/>
      <c r="E54" s="1167"/>
      <c r="F54" s="1167"/>
      <c r="G54" s="1167"/>
      <c r="H54" s="1167"/>
      <c r="I54" s="1167"/>
      <c r="J54" s="1167"/>
      <c r="K54" s="1167"/>
      <c r="L54" s="1167"/>
      <c r="M54" s="1167"/>
      <c r="N54" s="1167"/>
      <c r="O54" s="1167"/>
      <c r="P54" s="1167"/>
      <c r="Q54" s="1167"/>
      <c r="R54" s="1167"/>
    </row>
    <row r="55" spans="1:18">
      <c r="A55" s="1167"/>
      <c r="B55" s="1167"/>
      <c r="C55" s="1167"/>
      <c r="D55" s="1167"/>
      <c r="E55" s="1167"/>
      <c r="F55" s="1167"/>
      <c r="G55" s="1167"/>
      <c r="H55" s="1167"/>
      <c r="I55" s="1167"/>
      <c r="J55" s="1167"/>
      <c r="K55" s="1167"/>
      <c r="L55" s="1167"/>
      <c r="M55" s="1167"/>
      <c r="N55" s="1167"/>
      <c r="O55" s="1167"/>
      <c r="P55" s="1167"/>
      <c r="Q55" s="1167"/>
      <c r="R55" s="1167"/>
    </row>
    <row r="56" spans="1:18">
      <c r="A56" s="1167"/>
      <c r="B56" s="1167"/>
      <c r="C56" s="1167"/>
      <c r="D56" s="1167"/>
      <c r="E56" s="1167"/>
      <c r="F56" s="1167"/>
      <c r="G56" s="1167"/>
      <c r="H56" s="1167"/>
      <c r="I56" s="1167"/>
      <c r="J56" s="1167"/>
      <c r="K56" s="1167"/>
      <c r="L56" s="1167"/>
      <c r="M56" s="1167"/>
      <c r="N56" s="1167"/>
      <c r="O56" s="1167"/>
      <c r="P56" s="1167"/>
      <c r="Q56" s="1167"/>
      <c r="R56" s="1167"/>
    </row>
    <row r="57" spans="1:18">
      <c r="A57" s="1167"/>
      <c r="B57" s="1167"/>
      <c r="C57" s="1167"/>
      <c r="D57" s="1167"/>
      <c r="E57" s="1167"/>
      <c r="F57" s="1167"/>
      <c r="G57" s="1167"/>
      <c r="H57" s="1167"/>
      <c r="I57" s="1167"/>
      <c r="J57" s="1167"/>
      <c r="K57" s="1167"/>
      <c r="L57" s="1167"/>
      <c r="M57" s="1167"/>
      <c r="N57" s="1167"/>
      <c r="O57" s="1167"/>
      <c r="P57" s="1167"/>
      <c r="Q57" s="1167"/>
      <c r="R57" s="1167"/>
    </row>
    <row r="58" spans="1:18">
      <c r="A58" s="1167"/>
      <c r="B58" s="1167"/>
      <c r="C58" s="1167"/>
      <c r="D58" s="1167"/>
      <c r="E58" s="1167"/>
      <c r="F58" s="1167"/>
      <c r="G58" s="1167"/>
      <c r="H58" s="1167"/>
      <c r="I58" s="1167"/>
      <c r="J58" s="1167"/>
      <c r="K58" s="1167"/>
      <c r="L58" s="1167"/>
      <c r="M58" s="1167"/>
      <c r="N58" s="1167"/>
      <c r="O58" s="1167"/>
      <c r="P58" s="1167"/>
      <c r="Q58" s="1167"/>
      <c r="R58" s="1167"/>
    </row>
    <row r="59" spans="1:18">
      <c r="A59" s="1167"/>
      <c r="B59" s="1167"/>
      <c r="C59" s="1167"/>
      <c r="D59" s="1167"/>
      <c r="E59" s="1167"/>
      <c r="F59" s="1167"/>
      <c r="G59" s="1167"/>
      <c r="H59" s="1167"/>
      <c r="I59" s="1167"/>
      <c r="J59" s="1167"/>
      <c r="K59" s="1167"/>
      <c r="L59" s="1167"/>
      <c r="M59" s="1167"/>
      <c r="N59" s="1167"/>
      <c r="O59" s="1167"/>
      <c r="P59" s="1167"/>
      <c r="Q59" s="1167"/>
      <c r="R59" s="1167"/>
    </row>
    <row r="60" spans="1:18">
      <c r="A60" s="1167"/>
      <c r="B60" s="1167"/>
      <c r="C60" s="1167"/>
      <c r="D60" s="1167"/>
      <c r="E60" s="1167"/>
      <c r="F60" s="1167"/>
      <c r="G60" s="1167"/>
      <c r="H60" s="1167"/>
      <c r="I60" s="1167"/>
      <c r="J60" s="1167"/>
      <c r="K60" s="1167"/>
      <c r="L60" s="1167"/>
      <c r="M60" s="1167"/>
      <c r="N60" s="1167"/>
      <c r="O60" s="1167"/>
      <c r="P60" s="1167"/>
      <c r="Q60" s="1167"/>
      <c r="R60" s="1167"/>
    </row>
    <row r="61" spans="1:18">
      <c r="A61" s="1167"/>
      <c r="B61" s="1167"/>
      <c r="C61" s="1167"/>
      <c r="D61" s="1167"/>
      <c r="E61" s="1167"/>
      <c r="F61" s="1167"/>
      <c r="G61" s="1167"/>
      <c r="H61" s="1167"/>
      <c r="I61" s="1167"/>
      <c r="J61" s="1167"/>
      <c r="K61" s="1167"/>
      <c r="L61" s="1167"/>
      <c r="M61" s="1167"/>
      <c r="N61" s="1167"/>
      <c r="O61" s="1167"/>
      <c r="P61" s="1167"/>
      <c r="Q61" s="1167"/>
      <c r="R61" s="1167"/>
    </row>
    <row r="62" spans="1:18">
      <c r="A62" s="1167"/>
      <c r="B62" s="1167"/>
      <c r="C62" s="1167"/>
      <c r="D62" s="1167"/>
      <c r="E62" s="1167"/>
      <c r="F62" s="1167"/>
      <c r="G62" s="1167"/>
      <c r="H62" s="1167"/>
      <c r="I62" s="1167"/>
      <c r="J62" s="1167"/>
      <c r="K62" s="1167"/>
      <c r="L62" s="1167"/>
      <c r="M62" s="1167"/>
      <c r="N62" s="1167"/>
      <c r="O62" s="1167"/>
      <c r="P62" s="1167"/>
      <c r="Q62" s="1167"/>
      <c r="R62" s="1167"/>
    </row>
    <row r="63" spans="1:18">
      <c r="A63" s="1167"/>
      <c r="B63" s="1167"/>
      <c r="C63" s="1167"/>
      <c r="D63" s="1167"/>
      <c r="E63" s="1167"/>
      <c r="F63" s="1167"/>
      <c r="G63" s="1167"/>
      <c r="H63" s="1167"/>
      <c r="I63" s="1167"/>
      <c r="J63" s="1167"/>
      <c r="K63" s="1167"/>
      <c r="L63" s="1167"/>
      <c r="M63" s="1167"/>
      <c r="N63" s="1167"/>
      <c r="O63" s="1167"/>
      <c r="P63" s="1167"/>
      <c r="Q63" s="1167"/>
      <c r="R63" s="1167"/>
    </row>
    <row r="64" spans="1:18">
      <c r="A64" s="1167"/>
      <c r="B64" s="1167"/>
      <c r="C64" s="1167"/>
      <c r="D64" s="1167"/>
      <c r="E64" s="1167"/>
      <c r="F64" s="1167"/>
      <c r="G64" s="1167"/>
      <c r="H64" s="1167"/>
      <c r="I64" s="1167"/>
      <c r="J64" s="1167"/>
      <c r="K64" s="1167"/>
      <c r="L64" s="1167"/>
      <c r="M64" s="1167"/>
      <c r="N64" s="1167"/>
      <c r="O64" s="1167"/>
      <c r="P64" s="1167"/>
      <c r="Q64" s="1167"/>
      <c r="R64" s="1167"/>
    </row>
    <row r="65" spans="1:18">
      <c r="A65" s="1167"/>
      <c r="B65" s="1167"/>
      <c r="C65" s="1167"/>
      <c r="D65" s="1167"/>
      <c r="E65" s="1167"/>
      <c r="F65" s="1167"/>
      <c r="G65" s="1167"/>
      <c r="H65" s="1167"/>
      <c r="I65" s="1167"/>
      <c r="J65" s="1167"/>
      <c r="K65" s="1167"/>
      <c r="L65" s="1167"/>
      <c r="M65" s="1167"/>
      <c r="N65" s="1167"/>
      <c r="O65" s="1167"/>
      <c r="P65" s="1167"/>
      <c r="Q65" s="1167"/>
      <c r="R65" s="1167"/>
    </row>
    <row r="66" spans="1:18">
      <c r="A66" s="1167"/>
      <c r="B66" s="1167"/>
      <c r="C66" s="1167"/>
      <c r="D66" s="1167"/>
      <c r="E66" s="1167"/>
      <c r="F66" s="1167"/>
      <c r="G66" s="1167"/>
      <c r="H66" s="1167"/>
      <c r="I66" s="1167"/>
      <c r="J66" s="1167"/>
      <c r="K66" s="1167"/>
      <c r="L66" s="1167"/>
      <c r="M66" s="1167"/>
      <c r="N66" s="1167"/>
      <c r="O66" s="1167"/>
      <c r="P66" s="1167"/>
      <c r="Q66" s="1167"/>
      <c r="R66" s="1167"/>
    </row>
    <row r="67" spans="1:18">
      <c r="A67" s="1167"/>
      <c r="B67" s="1167"/>
      <c r="C67" s="1167"/>
      <c r="D67" s="1167"/>
      <c r="E67" s="1167"/>
      <c r="F67" s="1167"/>
      <c r="G67" s="1167"/>
      <c r="H67" s="1167"/>
      <c r="I67" s="1167"/>
      <c r="J67" s="1167"/>
      <c r="K67" s="1167"/>
      <c r="L67" s="1167"/>
      <c r="M67" s="1167"/>
      <c r="N67" s="1167"/>
      <c r="O67" s="1167"/>
      <c r="P67" s="1167"/>
      <c r="Q67" s="1167"/>
      <c r="R67" s="1167"/>
    </row>
    <row r="68" spans="1:18">
      <c r="A68" s="1167"/>
      <c r="B68" s="1167"/>
      <c r="C68" s="1167"/>
      <c r="D68" s="1167"/>
      <c r="E68" s="1167"/>
      <c r="F68" s="1167"/>
      <c r="G68" s="1167"/>
      <c r="H68" s="1167"/>
      <c r="I68" s="1167"/>
      <c r="J68" s="1167"/>
      <c r="K68" s="1167"/>
      <c r="L68" s="1167"/>
      <c r="M68" s="1167"/>
      <c r="N68" s="1167"/>
      <c r="O68" s="1167"/>
      <c r="P68" s="1167"/>
      <c r="Q68" s="1167"/>
      <c r="R68" s="1167"/>
    </row>
    <row r="69" spans="1:18">
      <c r="A69" s="1167"/>
      <c r="B69" s="1167"/>
      <c r="C69" s="1167"/>
      <c r="D69" s="1167"/>
      <c r="E69" s="1167"/>
      <c r="F69" s="1167"/>
      <c r="G69" s="1167"/>
      <c r="H69" s="1167"/>
      <c r="I69" s="1167"/>
      <c r="J69" s="1167"/>
      <c r="K69" s="1167"/>
      <c r="L69" s="1167"/>
      <c r="M69" s="1167"/>
      <c r="N69" s="1167"/>
      <c r="O69" s="1167"/>
      <c r="P69" s="1167"/>
      <c r="Q69" s="1167"/>
      <c r="R69" s="1167"/>
    </row>
    <row r="70" spans="1:18">
      <c r="A70" s="1167"/>
      <c r="B70" s="1167"/>
      <c r="C70" s="1167"/>
      <c r="D70" s="1167"/>
      <c r="E70" s="1167"/>
      <c r="F70" s="1167"/>
      <c r="G70" s="1167"/>
      <c r="H70" s="1167"/>
      <c r="I70" s="1167"/>
      <c r="J70" s="1167"/>
      <c r="K70" s="1167"/>
      <c r="L70" s="1167"/>
      <c r="M70" s="1167"/>
      <c r="N70" s="1167"/>
      <c r="O70" s="1167"/>
      <c r="P70" s="1167"/>
      <c r="Q70" s="1167"/>
      <c r="R70" s="1167"/>
    </row>
    <row r="71" spans="1:18">
      <c r="A71" s="1167"/>
      <c r="B71" s="1167"/>
      <c r="C71" s="1167"/>
      <c r="D71" s="1167"/>
      <c r="E71" s="1167"/>
      <c r="F71" s="1167"/>
      <c r="G71" s="1167"/>
      <c r="H71" s="1167"/>
      <c r="I71" s="1167"/>
      <c r="J71" s="1167"/>
      <c r="K71" s="1167"/>
      <c r="L71" s="1167"/>
      <c r="M71" s="1167"/>
      <c r="N71" s="1167"/>
      <c r="O71" s="1167"/>
      <c r="P71" s="1167"/>
      <c r="Q71" s="1167"/>
      <c r="R71" s="1167"/>
    </row>
    <row r="72" spans="1:18">
      <c r="A72" s="1167"/>
      <c r="B72" s="1167"/>
      <c r="C72" s="1167"/>
      <c r="D72" s="1167"/>
      <c r="E72" s="1167"/>
      <c r="F72" s="1167"/>
      <c r="G72" s="1167"/>
      <c r="H72" s="1167"/>
      <c r="I72" s="1167"/>
      <c r="J72" s="1167"/>
      <c r="K72" s="1167"/>
      <c r="L72" s="1167"/>
      <c r="M72" s="1167"/>
      <c r="N72" s="1167"/>
      <c r="O72" s="1167"/>
      <c r="P72" s="1167"/>
      <c r="Q72" s="1167"/>
      <c r="R72" s="1167"/>
    </row>
    <row r="73" spans="1:18">
      <c r="A73" s="1167"/>
      <c r="B73" s="1167"/>
      <c r="C73" s="1167"/>
      <c r="D73" s="1167"/>
      <c r="E73" s="1167"/>
      <c r="F73" s="1167"/>
      <c r="G73" s="1167"/>
      <c r="H73" s="1167"/>
      <c r="I73" s="1167"/>
      <c r="J73" s="1167"/>
      <c r="K73" s="1167"/>
      <c r="L73" s="1167"/>
      <c r="M73" s="1167"/>
      <c r="N73" s="1167"/>
      <c r="O73" s="1167"/>
      <c r="P73" s="1167"/>
      <c r="Q73" s="1167"/>
      <c r="R73" s="1167"/>
    </row>
    <row r="74" spans="1:18">
      <c r="A74" s="1167"/>
      <c r="B74" s="1167"/>
      <c r="C74" s="1167"/>
      <c r="D74" s="1167"/>
      <c r="E74" s="1167"/>
      <c r="F74" s="1167"/>
      <c r="G74" s="1167"/>
      <c r="H74" s="1167"/>
      <c r="I74" s="1167"/>
      <c r="J74" s="1167"/>
      <c r="K74" s="1167"/>
      <c r="L74" s="1167"/>
      <c r="M74" s="1167"/>
      <c r="N74" s="1167"/>
      <c r="O74" s="1167"/>
      <c r="P74" s="1167"/>
      <c r="Q74" s="1167"/>
      <c r="R74" s="1167"/>
    </row>
    <row r="75" spans="1:18">
      <c r="A75" s="1167"/>
      <c r="B75" s="1167"/>
      <c r="C75" s="1167"/>
      <c r="D75" s="1167"/>
      <c r="E75" s="1167"/>
      <c r="F75" s="1167"/>
      <c r="G75" s="1167"/>
      <c r="H75" s="1167"/>
      <c r="I75" s="1167"/>
      <c r="J75" s="1167"/>
      <c r="K75" s="1167"/>
      <c r="L75" s="1167"/>
      <c r="M75" s="1167"/>
      <c r="N75" s="1167"/>
      <c r="O75" s="1167"/>
      <c r="P75" s="1167"/>
      <c r="Q75" s="1167"/>
      <c r="R75" s="1167"/>
    </row>
    <row r="76" spans="1:18">
      <c r="A76" s="1167"/>
      <c r="B76" s="1167"/>
      <c r="C76" s="1167"/>
      <c r="D76" s="1167"/>
      <c r="E76" s="1167"/>
      <c r="F76" s="1167"/>
      <c r="G76" s="1167"/>
      <c r="H76" s="1167"/>
      <c r="I76" s="1167"/>
      <c r="J76" s="1167"/>
      <c r="K76" s="1167"/>
      <c r="L76" s="1167"/>
      <c r="M76" s="1167"/>
      <c r="N76" s="1167"/>
      <c r="O76" s="1167"/>
      <c r="P76" s="1167"/>
      <c r="Q76" s="1167"/>
      <c r="R76" s="1167"/>
    </row>
    <row r="77" spans="1:18">
      <c r="A77" s="1167"/>
      <c r="B77" s="1167"/>
      <c r="C77" s="1167"/>
      <c r="D77" s="1167"/>
      <c r="E77" s="1167"/>
      <c r="F77" s="1167"/>
      <c r="G77" s="1167"/>
      <c r="H77" s="1167"/>
      <c r="I77" s="1167"/>
      <c r="J77" s="1167"/>
      <c r="K77" s="1167"/>
      <c r="L77" s="1167"/>
      <c r="M77" s="1167"/>
      <c r="N77" s="1167"/>
      <c r="O77" s="1167"/>
      <c r="P77" s="1167"/>
      <c r="Q77" s="1167"/>
      <c r="R77" s="1167"/>
    </row>
    <row r="78" spans="1:18">
      <c r="A78" s="1167"/>
      <c r="B78" s="1167"/>
      <c r="C78" s="1167"/>
      <c r="D78" s="1167"/>
      <c r="E78" s="1167"/>
      <c r="F78" s="1167"/>
      <c r="G78" s="1167"/>
      <c r="H78" s="1167"/>
      <c r="I78" s="1167"/>
      <c r="J78" s="1167"/>
      <c r="K78" s="1167"/>
      <c r="L78" s="1167"/>
      <c r="M78" s="1167"/>
      <c r="N78" s="1167"/>
      <c r="O78" s="1167"/>
      <c r="P78" s="1167"/>
      <c r="Q78" s="1167"/>
      <c r="R78" s="1167"/>
    </row>
    <row r="79" spans="1:18">
      <c r="A79" s="1167"/>
      <c r="B79" s="1167"/>
      <c r="C79" s="1167"/>
      <c r="D79" s="1167"/>
      <c r="E79" s="1167"/>
      <c r="F79" s="1167"/>
      <c r="G79" s="1167"/>
      <c r="H79" s="1167"/>
      <c r="I79" s="1167"/>
      <c r="J79" s="1167"/>
      <c r="K79" s="1167"/>
      <c r="L79" s="1167"/>
      <c r="M79" s="1167"/>
      <c r="N79" s="1167"/>
      <c r="O79" s="1167"/>
      <c r="P79" s="1167"/>
      <c r="Q79" s="1167"/>
      <c r="R79" s="1167"/>
    </row>
    <row r="80" spans="1:18">
      <c r="A80" s="1167"/>
      <c r="B80" s="1167"/>
      <c r="C80" s="1167"/>
      <c r="D80" s="1167"/>
      <c r="E80" s="1167"/>
      <c r="F80" s="1167"/>
      <c r="G80" s="1167"/>
      <c r="H80" s="1167"/>
      <c r="I80" s="1167"/>
      <c r="J80" s="1167"/>
      <c r="K80" s="1167"/>
      <c r="L80" s="1167"/>
      <c r="M80" s="1167"/>
      <c r="N80" s="1167"/>
      <c r="O80" s="1167"/>
      <c r="P80" s="1167"/>
      <c r="Q80" s="1167"/>
      <c r="R80" s="1167"/>
    </row>
    <row r="81" spans="1:18">
      <c r="A81" s="1167"/>
      <c r="B81" s="1167"/>
      <c r="C81" s="1167"/>
      <c r="D81" s="1167"/>
      <c r="E81" s="1167"/>
      <c r="F81" s="1167"/>
      <c r="G81" s="1167"/>
      <c r="H81" s="1167"/>
      <c r="I81" s="1167"/>
      <c r="J81" s="1167"/>
      <c r="K81" s="1167"/>
      <c r="L81" s="1167"/>
      <c r="M81" s="1167"/>
      <c r="N81" s="1167"/>
      <c r="O81" s="1167"/>
      <c r="P81" s="1167"/>
      <c r="Q81" s="1167"/>
      <c r="R81" s="1167"/>
    </row>
    <row r="82" spans="1:18">
      <c r="A82" s="1167"/>
      <c r="B82" s="1167"/>
      <c r="C82" s="1167"/>
      <c r="D82" s="1167"/>
      <c r="E82" s="1167"/>
      <c r="F82" s="1167"/>
      <c r="G82" s="1167"/>
      <c r="H82" s="1167"/>
      <c r="I82" s="1167"/>
      <c r="J82" s="1167"/>
      <c r="K82" s="1167"/>
      <c r="L82" s="1167"/>
      <c r="M82" s="1167"/>
      <c r="N82" s="1167"/>
      <c r="O82" s="1167"/>
      <c r="P82" s="1167"/>
      <c r="Q82" s="1167"/>
      <c r="R82" s="1167"/>
    </row>
    <row r="83" spans="1:18">
      <c r="A83" s="1167"/>
      <c r="B83" s="1167"/>
      <c r="C83" s="1167"/>
      <c r="D83" s="1167"/>
      <c r="E83" s="1167"/>
      <c r="F83" s="1167"/>
      <c r="G83" s="1167"/>
      <c r="H83" s="1167"/>
      <c r="I83" s="1167"/>
      <c r="J83" s="1167"/>
      <c r="K83" s="1167"/>
      <c r="L83" s="1167"/>
      <c r="M83" s="1167"/>
      <c r="N83" s="1167"/>
      <c r="O83" s="1167"/>
      <c r="P83" s="1167"/>
      <c r="Q83" s="1167"/>
      <c r="R83" s="1167"/>
    </row>
    <row r="84" spans="1:18">
      <c r="A84" s="1167"/>
      <c r="B84" s="1167"/>
      <c r="C84" s="1167"/>
      <c r="D84" s="1167"/>
      <c r="E84" s="1167"/>
      <c r="F84" s="1167"/>
      <c r="G84" s="1167"/>
      <c r="H84" s="1167"/>
      <c r="I84" s="1167"/>
      <c r="J84" s="1167"/>
      <c r="K84" s="1167"/>
      <c r="L84" s="1167"/>
      <c r="M84" s="1167"/>
      <c r="N84" s="1167"/>
      <c r="O84" s="1167"/>
      <c r="P84" s="1167"/>
      <c r="Q84" s="1167"/>
      <c r="R84" s="1167"/>
    </row>
    <row r="85" spans="1:18">
      <c r="A85" s="1167"/>
      <c r="B85" s="1167"/>
      <c r="C85" s="1167"/>
      <c r="D85" s="1167"/>
      <c r="E85" s="1167"/>
      <c r="F85" s="1167"/>
      <c r="G85" s="1167"/>
      <c r="H85" s="1167"/>
      <c r="I85" s="1167"/>
      <c r="J85" s="1167"/>
      <c r="K85" s="1167"/>
      <c r="L85" s="1167"/>
      <c r="M85" s="1167"/>
      <c r="N85" s="1167"/>
      <c r="O85" s="1167"/>
      <c r="P85" s="1167"/>
      <c r="Q85" s="1167"/>
      <c r="R85" s="1167"/>
    </row>
    <row r="86" spans="1:18">
      <c r="A86" s="1167"/>
      <c r="B86" s="1167"/>
      <c r="C86" s="1167"/>
      <c r="D86" s="1167"/>
      <c r="E86" s="1167"/>
      <c r="F86" s="1167"/>
      <c r="G86" s="1167"/>
      <c r="H86" s="1167"/>
      <c r="I86" s="1167"/>
      <c r="J86" s="1167"/>
      <c r="K86" s="1167"/>
      <c r="L86" s="1167"/>
      <c r="M86" s="1167"/>
      <c r="N86" s="1167"/>
      <c r="O86" s="1167"/>
      <c r="P86" s="1167"/>
      <c r="Q86" s="1167"/>
      <c r="R86" s="1167"/>
    </row>
    <row r="87" spans="1:18">
      <c r="A87" s="1167"/>
      <c r="B87" s="1167"/>
      <c r="C87" s="1167"/>
      <c r="D87" s="1167"/>
      <c r="E87" s="1167"/>
      <c r="F87" s="1167"/>
      <c r="G87" s="1167"/>
      <c r="H87" s="1167"/>
      <c r="I87" s="1167"/>
      <c r="J87" s="1167"/>
      <c r="K87" s="1167"/>
      <c r="L87" s="1167"/>
      <c r="M87" s="1167"/>
      <c r="N87" s="1167"/>
      <c r="O87" s="1167"/>
      <c r="P87" s="1167"/>
      <c r="Q87" s="1167"/>
      <c r="R87" s="1167"/>
    </row>
    <row r="88" spans="1:18">
      <c r="A88" s="1167"/>
      <c r="B88" s="1167"/>
      <c r="C88" s="1167"/>
      <c r="D88" s="1167"/>
      <c r="E88" s="1167"/>
      <c r="F88" s="1167"/>
      <c r="G88" s="1167"/>
      <c r="H88" s="1167"/>
      <c r="I88" s="1167"/>
      <c r="J88" s="1167"/>
      <c r="K88" s="1167"/>
      <c r="L88" s="1167"/>
      <c r="M88" s="1167"/>
      <c r="N88" s="1167"/>
      <c r="O88" s="1167"/>
      <c r="P88" s="1167"/>
      <c r="Q88" s="1167"/>
      <c r="R88" s="1167"/>
    </row>
    <row r="89" spans="1:18">
      <c r="A89" s="1167"/>
      <c r="B89" s="1167"/>
      <c r="C89" s="1167"/>
      <c r="D89" s="1167"/>
      <c r="E89" s="1167"/>
      <c r="F89" s="1167"/>
      <c r="G89" s="1167"/>
      <c r="H89" s="1167"/>
      <c r="I89" s="1167"/>
      <c r="J89" s="1167"/>
      <c r="K89" s="1167"/>
      <c r="L89" s="1167"/>
      <c r="M89" s="1167"/>
      <c r="N89" s="1167"/>
      <c r="O89" s="1167"/>
      <c r="P89" s="1167"/>
      <c r="Q89" s="1167"/>
      <c r="R89" s="1167"/>
    </row>
    <row r="90" spans="1:18">
      <c r="A90" s="1167"/>
      <c r="B90" s="1167"/>
      <c r="C90" s="1167"/>
      <c r="D90" s="1167"/>
      <c r="E90" s="1167"/>
      <c r="F90" s="1167"/>
      <c r="G90" s="1167"/>
      <c r="H90" s="1167"/>
      <c r="I90" s="1167"/>
      <c r="J90" s="1167"/>
      <c r="K90" s="1167"/>
      <c r="L90" s="1167"/>
      <c r="M90" s="1167"/>
      <c r="N90" s="1167"/>
      <c r="O90" s="1167"/>
      <c r="P90" s="1167"/>
      <c r="Q90" s="1167"/>
      <c r="R90" s="1167"/>
    </row>
    <row r="91" spans="1:18">
      <c r="A91" s="1167"/>
      <c r="B91" s="1167"/>
      <c r="C91" s="1167"/>
      <c r="D91" s="1167"/>
      <c r="E91" s="1167"/>
      <c r="F91" s="1167"/>
      <c r="G91" s="1167"/>
      <c r="H91" s="1167"/>
      <c r="I91" s="1167"/>
      <c r="J91" s="1167"/>
      <c r="K91" s="1167"/>
      <c r="L91" s="1167"/>
      <c r="M91" s="1167"/>
      <c r="N91" s="1167"/>
      <c r="O91" s="1167"/>
      <c r="P91" s="1167"/>
      <c r="Q91" s="1167"/>
      <c r="R91" s="1167"/>
    </row>
    <row r="92" spans="1:18">
      <c r="A92" s="1167"/>
      <c r="B92" s="1167"/>
      <c r="C92" s="1167"/>
      <c r="D92" s="1167"/>
      <c r="E92" s="1167"/>
      <c r="F92" s="1167"/>
      <c r="G92" s="1167"/>
      <c r="H92" s="1167"/>
      <c r="I92" s="1167"/>
      <c r="J92" s="1167"/>
      <c r="K92" s="1167"/>
      <c r="L92" s="1167"/>
      <c r="M92" s="1167"/>
      <c r="N92" s="1167"/>
      <c r="O92" s="1167"/>
      <c r="P92" s="1167"/>
      <c r="Q92" s="1167"/>
      <c r="R92" s="1167"/>
    </row>
    <row r="93" spans="1:18">
      <c r="A93" s="1167"/>
      <c r="B93" s="1167"/>
      <c r="C93" s="1167"/>
      <c r="D93" s="1167"/>
      <c r="E93" s="1167"/>
      <c r="F93" s="1167"/>
      <c r="G93" s="1167"/>
      <c r="H93" s="1167"/>
      <c r="I93" s="1167"/>
      <c r="J93" s="1167"/>
      <c r="K93" s="1167"/>
      <c r="L93" s="1167"/>
      <c r="M93" s="1167"/>
      <c r="N93" s="1167"/>
      <c r="O93" s="1167"/>
      <c r="P93" s="1167"/>
      <c r="Q93" s="1167"/>
      <c r="R93" s="1167"/>
    </row>
    <row r="94" spans="1:18">
      <c r="A94" s="1167"/>
      <c r="B94" s="1167"/>
      <c r="C94" s="1167"/>
      <c r="D94" s="1167"/>
      <c r="E94" s="1167"/>
      <c r="F94" s="1167"/>
      <c r="G94" s="1167"/>
      <c r="H94" s="1167"/>
      <c r="I94" s="1167"/>
      <c r="J94" s="1167"/>
      <c r="K94" s="1167"/>
      <c r="L94" s="1167"/>
      <c r="M94" s="1167"/>
      <c r="N94" s="1167"/>
      <c r="O94" s="1167"/>
      <c r="P94" s="1167"/>
      <c r="Q94" s="1167"/>
      <c r="R94" s="1167"/>
    </row>
    <row r="95" spans="1:18">
      <c r="A95" s="1167"/>
      <c r="B95" s="1167"/>
      <c r="C95" s="1167"/>
      <c r="D95" s="1167"/>
      <c r="E95" s="1167"/>
      <c r="F95" s="1167"/>
      <c r="G95" s="1167"/>
      <c r="H95" s="1167"/>
      <c r="I95" s="1167"/>
      <c r="J95" s="1167"/>
      <c r="K95" s="1167"/>
      <c r="L95" s="1167"/>
      <c r="M95" s="1167"/>
      <c r="N95" s="1167"/>
      <c r="O95" s="1167"/>
      <c r="P95" s="1167"/>
      <c r="Q95" s="1167"/>
      <c r="R95" s="1167"/>
    </row>
    <row r="96" spans="1:18">
      <c r="A96" s="1167"/>
      <c r="B96" s="1167"/>
      <c r="C96" s="1167"/>
      <c r="D96" s="1167"/>
      <c r="E96" s="1167"/>
      <c r="F96" s="1167"/>
      <c r="G96" s="1167"/>
      <c r="H96" s="1167"/>
      <c r="I96" s="1167"/>
      <c r="J96" s="1167"/>
      <c r="K96" s="1167"/>
      <c r="L96" s="1167"/>
      <c r="M96" s="1167"/>
      <c r="N96" s="1167"/>
      <c r="O96" s="1167"/>
      <c r="P96" s="1167"/>
      <c r="Q96" s="1167"/>
      <c r="R96" s="1167"/>
    </row>
    <row r="97" spans="1:18">
      <c r="A97" s="1167"/>
      <c r="B97" s="1167"/>
      <c r="C97" s="1167"/>
      <c r="D97" s="1167"/>
      <c r="E97" s="1167"/>
      <c r="F97" s="1167"/>
      <c r="G97" s="1167"/>
      <c r="H97" s="1167"/>
      <c r="I97" s="1167"/>
      <c r="J97" s="1167"/>
      <c r="K97" s="1167"/>
      <c r="L97" s="1167"/>
      <c r="M97" s="1167"/>
      <c r="N97" s="1167"/>
      <c r="O97" s="1167"/>
      <c r="P97" s="1167"/>
      <c r="Q97" s="1167"/>
      <c r="R97" s="1167"/>
    </row>
    <row r="98" spans="1:18">
      <c r="A98" s="1167"/>
      <c r="B98" s="1167"/>
      <c r="C98" s="1167"/>
      <c r="D98" s="1167"/>
      <c r="E98" s="1167"/>
      <c r="F98" s="1167"/>
      <c r="G98" s="1167"/>
      <c r="H98" s="1167"/>
      <c r="I98" s="1167"/>
      <c r="J98" s="1167"/>
      <c r="K98" s="1167"/>
      <c r="L98" s="1167"/>
      <c r="M98" s="1167"/>
      <c r="N98" s="1167"/>
      <c r="O98" s="1167"/>
      <c r="P98" s="1167"/>
      <c r="Q98" s="1167"/>
      <c r="R98" s="1167"/>
    </row>
    <row r="99" spans="1:18">
      <c r="A99" s="1167"/>
      <c r="B99" s="1167"/>
      <c r="C99" s="1167"/>
      <c r="D99" s="1167"/>
      <c r="E99" s="1167"/>
      <c r="F99" s="1167"/>
      <c r="G99" s="1167"/>
      <c r="H99" s="1167"/>
      <c r="I99" s="1167"/>
      <c r="J99" s="1167"/>
      <c r="K99" s="1167"/>
      <c r="L99" s="1167"/>
      <c r="M99" s="1167"/>
      <c r="N99" s="1167"/>
      <c r="O99" s="1167"/>
      <c r="P99" s="1167"/>
      <c r="Q99" s="1167"/>
      <c r="R99" s="1167"/>
    </row>
    <row r="100" spans="1:18">
      <c r="A100" s="1167"/>
      <c r="B100" s="1167"/>
      <c r="C100" s="1167"/>
      <c r="D100" s="1167"/>
      <c r="E100" s="1167"/>
      <c r="F100" s="1167"/>
      <c r="G100" s="1167"/>
      <c r="H100" s="1167"/>
      <c r="I100" s="1167"/>
      <c r="J100" s="1167"/>
      <c r="K100" s="1167"/>
      <c r="L100" s="1167"/>
      <c r="M100" s="1167"/>
      <c r="N100" s="1167"/>
      <c r="O100" s="1167"/>
      <c r="P100" s="1167"/>
      <c r="Q100" s="1167"/>
      <c r="R100" s="1167"/>
    </row>
    <row r="101" spans="1:18">
      <c r="A101" s="1167"/>
      <c r="B101" s="1167"/>
      <c r="C101" s="1167"/>
      <c r="D101" s="1167"/>
      <c r="E101" s="1167"/>
      <c r="F101" s="1167"/>
      <c r="G101" s="1167"/>
      <c r="H101" s="1167"/>
      <c r="I101" s="1167"/>
      <c r="J101" s="1167"/>
      <c r="K101" s="1167"/>
      <c r="L101" s="1167"/>
      <c r="M101" s="1167"/>
      <c r="N101" s="1167"/>
      <c r="O101" s="1167"/>
      <c r="P101" s="1167"/>
      <c r="Q101" s="1167"/>
      <c r="R101" s="1167"/>
    </row>
    <row r="102" spans="1:18">
      <c r="A102" s="1167"/>
      <c r="B102" s="1167"/>
      <c r="C102" s="1167"/>
      <c r="D102" s="1167"/>
      <c r="E102" s="1167"/>
      <c r="F102" s="1167"/>
      <c r="G102" s="1167"/>
      <c r="H102" s="1167"/>
      <c r="I102" s="1167"/>
      <c r="J102" s="1167"/>
      <c r="K102" s="1167"/>
      <c r="L102" s="1167"/>
      <c r="M102" s="1167"/>
      <c r="N102" s="1167"/>
      <c r="O102" s="1167"/>
      <c r="P102" s="1167"/>
      <c r="Q102" s="1167"/>
      <c r="R102" s="1167"/>
    </row>
    <row r="103" spans="1:18">
      <c r="A103" s="1167"/>
      <c r="B103" s="1167"/>
      <c r="C103" s="1167"/>
      <c r="D103" s="1167"/>
      <c r="E103" s="1167"/>
      <c r="F103" s="1167"/>
      <c r="G103" s="1167"/>
      <c r="H103" s="1167"/>
      <c r="I103" s="1167"/>
      <c r="J103" s="1167"/>
      <c r="K103" s="1167"/>
      <c r="L103" s="1167"/>
      <c r="M103" s="1167"/>
      <c r="N103" s="1167"/>
      <c r="O103" s="1167"/>
      <c r="P103" s="1167"/>
      <c r="Q103" s="1167"/>
      <c r="R103" s="1167"/>
    </row>
    <row r="104" spans="1:18">
      <c r="A104" s="1167"/>
      <c r="B104" s="1167"/>
      <c r="C104" s="1167"/>
      <c r="D104" s="1167"/>
      <c r="E104" s="1167"/>
      <c r="F104" s="1167"/>
      <c r="G104" s="1167"/>
      <c r="H104" s="1167"/>
      <c r="I104" s="1167"/>
      <c r="J104" s="1167"/>
      <c r="K104" s="1167"/>
      <c r="L104" s="1167"/>
      <c r="M104" s="1167"/>
      <c r="N104" s="1167"/>
      <c r="O104" s="1167"/>
      <c r="P104" s="1167"/>
      <c r="Q104" s="1167"/>
      <c r="R104" s="1167"/>
    </row>
    <row r="105" spans="1:18">
      <c r="A105" s="1167"/>
      <c r="B105" s="1167"/>
      <c r="C105" s="1167"/>
      <c r="D105" s="1167"/>
      <c r="E105" s="1167"/>
      <c r="F105" s="1167"/>
      <c r="G105" s="1167"/>
      <c r="H105" s="1167"/>
      <c r="I105" s="1167"/>
      <c r="J105" s="1167"/>
      <c r="K105" s="1167"/>
      <c r="L105" s="1167"/>
      <c r="M105" s="1167"/>
      <c r="N105" s="1167"/>
      <c r="O105" s="1167"/>
      <c r="P105" s="1167"/>
      <c r="Q105" s="1167"/>
      <c r="R105" s="1167"/>
    </row>
    <row r="106" spans="1:18">
      <c r="A106" s="1167"/>
      <c r="B106" s="1167"/>
      <c r="C106" s="1167"/>
      <c r="D106" s="1167"/>
      <c r="E106" s="1167"/>
      <c r="F106" s="1167"/>
      <c r="G106" s="1167"/>
      <c r="H106" s="1167"/>
      <c r="I106" s="1167"/>
      <c r="J106" s="1167"/>
      <c r="K106" s="1167"/>
      <c r="L106" s="1167"/>
      <c r="M106" s="1167"/>
      <c r="N106" s="1167"/>
      <c r="O106" s="1167"/>
      <c r="P106" s="1167"/>
      <c r="Q106" s="1167"/>
      <c r="R106" s="1167"/>
    </row>
    <row r="107" spans="1:18">
      <c r="A107" s="1167"/>
      <c r="B107" s="1167"/>
      <c r="C107" s="1167"/>
      <c r="D107" s="1167"/>
      <c r="E107" s="1167"/>
      <c r="F107" s="1167"/>
      <c r="G107" s="1167"/>
      <c r="H107" s="1167"/>
      <c r="I107" s="1167"/>
      <c r="J107" s="1167"/>
      <c r="K107" s="1167"/>
      <c r="L107" s="1167"/>
      <c r="M107" s="1167"/>
      <c r="N107" s="1167"/>
      <c r="O107" s="1167"/>
      <c r="P107" s="1167"/>
      <c r="Q107" s="1167"/>
      <c r="R107" s="1167"/>
    </row>
    <row r="108" spans="1:18">
      <c r="A108" s="1167"/>
      <c r="B108" s="1167"/>
      <c r="C108" s="1167"/>
      <c r="D108" s="1167"/>
      <c r="E108" s="1167"/>
      <c r="F108" s="1167"/>
      <c r="G108" s="1167"/>
      <c r="H108" s="1167"/>
      <c r="I108" s="1167"/>
      <c r="J108" s="1167"/>
      <c r="K108" s="1167"/>
      <c r="L108" s="1167"/>
      <c r="M108" s="1167"/>
      <c r="N108" s="1167"/>
      <c r="O108" s="1167"/>
      <c r="P108" s="1167"/>
      <c r="Q108" s="1167"/>
      <c r="R108" s="1167"/>
    </row>
    <row r="109" spans="1:18">
      <c r="A109" s="1167"/>
      <c r="B109" s="1167"/>
      <c r="C109" s="1167"/>
      <c r="D109" s="1167"/>
      <c r="E109" s="1167"/>
      <c r="F109" s="1167"/>
      <c r="G109" s="1167"/>
      <c r="H109" s="1167"/>
      <c r="I109" s="1167"/>
      <c r="J109" s="1167"/>
      <c r="K109" s="1167"/>
      <c r="L109" s="1167"/>
      <c r="M109" s="1167"/>
      <c r="N109" s="1167"/>
      <c r="O109" s="1167"/>
      <c r="P109" s="1167"/>
      <c r="Q109" s="1167"/>
      <c r="R109" s="1167"/>
    </row>
    <row r="110" spans="1:18">
      <c r="A110" s="1167"/>
      <c r="B110" s="1167"/>
      <c r="C110" s="1167"/>
      <c r="D110" s="1167"/>
      <c r="E110" s="1167"/>
      <c r="F110" s="1167"/>
      <c r="G110" s="1167"/>
      <c r="H110" s="1167"/>
      <c r="I110" s="1167"/>
      <c r="J110" s="1167"/>
      <c r="K110" s="1167"/>
      <c r="L110" s="1167"/>
      <c r="M110" s="1167"/>
      <c r="N110" s="1167"/>
      <c r="O110" s="1167"/>
      <c r="P110" s="1167"/>
      <c r="Q110" s="1167"/>
      <c r="R110" s="1167"/>
    </row>
    <row r="111" spans="1:18">
      <c r="A111" s="1167"/>
      <c r="B111" s="1167"/>
      <c r="C111" s="1167"/>
      <c r="D111" s="1167"/>
      <c r="E111" s="1167"/>
      <c r="F111" s="1167"/>
      <c r="G111" s="1167"/>
      <c r="H111" s="1167"/>
      <c r="I111" s="1167"/>
      <c r="J111" s="1167"/>
      <c r="K111" s="1167"/>
      <c r="L111" s="1167"/>
      <c r="M111" s="1167"/>
      <c r="N111" s="1167"/>
      <c r="O111" s="1167"/>
      <c r="P111" s="1167"/>
      <c r="Q111" s="1167"/>
      <c r="R111" s="1167"/>
    </row>
    <row r="112" spans="1:18">
      <c r="A112" s="1167"/>
      <c r="B112" s="1167"/>
      <c r="C112" s="1167"/>
      <c r="D112" s="1167"/>
      <c r="E112" s="1167"/>
      <c r="F112" s="1167"/>
      <c r="G112" s="1167"/>
      <c r="H112" s="1167"/>
      <c r="I112" s="1167"/>
      <c r="J112" s="1167"/>
      <c r="K112" s="1167"/>
      <c r="L112" s="1167"/>
      <c r="M112" s="1167"/>
      <c r="N112" s="1167"/>
      <c r="O112" s="1167"/>
      <c r="P112" s="1167"/>
      <c r="Q112" s="1167"/>
      <c r="R112" s="1167"/>
    </row>
    <row r="113" spans="1:18">
      <c r="A113" s="1167"/>
      <c r="B113" s="1167"/>
      <c r="C113" s="1167"/>
      <c r="D113" s="1167"/>
      <c r="E113" s="1167"/>
      <c r="F113" s="1167"/>
      <c r="G113" s="1167"/>
      <c r="H113" s="1167"/>
      <c r="I113" s="1167"/>
      <c r="J113" s="1167"/>
      <c r="K113" s="1167"/>
      <c r="L113" s="1167"/>
      <c r="M113" s="1167"/>
      <c r="N113" s="1167"/>
      <c r="O113" s="1167"/>
      <c r="P113" s="1167"/>
      <c r="Q113" s="1167"/>
      <c r="R113" s="1167"/>
    </row>
    <row r="114" spans="1:18">
      <c r="A114" s="1167"/>
      <c r="B114" s="1167"/>
      <c r="C114" s="1167"/>
      <c r="D114" s="1167"/>
      <c r="E114" s="1167"/>
      <c r="F114" s="1167"/>
      <c r="G114" s="1167"/>
      <c r="H114" s="1167"/>
      <c r="I114" s="1167"/>
      <c r="J114" s="1167"/>
      <c r="K114" s="1167"/>
      <c r="L114" s="1167"/>
      <c r="M114" s="1167"/>
      <c r="N114" s="1167"/>
      <c r="O114" s="1167"/>
      <c r="P114" s="1167"/>
      <c r="Q114" s="1167"/>
      <c r="R114" s="1167"/>
    </row>
    <row r="115" spans="1:18">
      <c r="A115" s="1167"/>
      <c r="B115" s="1167"/>
      <c r="C115" s="1167"/>
      <c r="D115" s="1167"/>
      <c r="E115" s="1167"/>
      <c r="F115" s="1167"/>
      <c r="G115" s="1167"/>
      <c r="H115" s="1167"/>
      <c r="I115" s="1167"/>
      <c r="J115" s="1167"/>
      <c r="K115" s="1167"/>
      <c r="L115" s="1167"/>
      <c r="M115" s="1167"/>
      <c r="N115" s="1167"/>
      <c r="O115" s="1167"/>
      <c r="P115" s="1167"/>
      <c r="Q115" s="1167"/>
      <c r="R115" s="1167"/>
    </row>
    <row r="116" spans="1:18">
      <c r="A116" s="1167"/>
      <c r="B116" s="1167"/>
      <c r="C116" s="1167"/>
      <c r="D116" s="1167"/>
      <c r="E116" s="1167"/>
      <c r="F116" s="1167"/>
      <c r="G116" s="1167"/>
      <c r="H116" s="1167"/>
      <c r="I116" s="1167"/>
      <c r="J116" s="1167"/>
      <c r="K116" s="1167"/>
      <c r="L116" s="1167"/>
      <c r="M116" s="1167"/>
      <c r="N116" s="1167"/>
      <c r="O116" s="1167"/>
      <c r="P116" s="1167"/>
      <c r="Q116" s="1167"/>
      <c r="R116" s="1167"/>
    </row>
    <row r="117" spans="1:18">
      <c r="A117" s="1167"/>
      <c r="B117" s="1167"/>
      <c r="C117" s="1167"/>
      <c r="D117" s="1167"/>
      <c r="E117" s="1167"/>
      <c r="F117" s="1167"/>
      <c r="G117" s="1167"/>
      <c r="H117" s="1167"/>
      <c r="I117" s="1167"/>
      <c r="J117" s="1167"/>
      <c r="K117" s="1167"/>
      <c r="L117" s="1167"/>
      <c r="M117" s="1167"/>
      <c r="N117" s="1167"/>
      <c r="O117" s="1167"/>
      <c r="P117" s="1167"/>
      <c r="Q117" s="1167"/>
      <c r="R117" s="1167"/>
    </row>
    <row r="118" spans="1:18">
      <c r="A118" s="1167"/>
      <c r="B118" s="1167"/>
      <c r="C118" s="1167"/>
      <c r="D118" s="1167"/>
      <c r="E118" s="1167"/>
      <c r="F118" s="1167"/>
      <c r="G118" s="1167"/>
      <c r="H118" s="1167"/>
      <c r="I118" s="1167"/>
      <c r="J118" s="1167"/>
      <c r="K118" s="1167"/>
      <c r="L118" s="1167"/>
      <c r="M118" s="1167"/>
      <c r="N118" s="1167"/>
      <c r="O118" s="1167"/>
      <c r="P118" s="1167"/>
      <c r="Q118" s="1167"/>
      <c r="R118" s="1167"/>
    </row>
    <row r="119" spans="1:18">
      <c r="A119" s="1167"/>
      <c r="B119" s="1167"/>
      <c r="C119" s="1167"/>
      <c r="D119" s="1167"/>
      <c r="E119" s="1167"/>
      <c r="F119" s="1167"/>
      <c r="G119" s="1167"/>
      <c r="H119" s="1167"/>
      <c r="I119" s="1167"/>
      <c r="J119" s="1167"/>
      <c r="K119" s="1167"/>
      <c r="L119" s="1167"/>
      <c r="M119" s="1167"/>
      <c r="N119" s="1167"/>
      <c r="O119" s="1167"/>
      <c r="P119" s="1167"/>
      <c r="Q119" s="1167"/>
      <c r="R119" s="1167"/>
    </row>
    <row r="120" spans="1:18">
      <c r="A120" s="1167"/>
      <c r="B120" s="1167"/>
      <c r="C120" s="1167"/>
      <c r="D120" s="1167"/>
      <c r="E120" s="1167"/>
      <c r="F120" s="1167"/>
      <c r="G120" s="1167"/>
      <c r="H120" s="1167"/>
      <c r="I120" s="1167"/>
      <c r="J120" s="1167"/>
      <c r="K120" s="1167"/>
      <c r="L120" s="1167"/>
      <c r="M120" s="1167"/>
      <c r="N120" s="1167"/>
      <c r="O120" s="1167"/>
      <c r="P120" s="1167"/>
      <c r="Q120" s="1167"/>
      <c r="R120" s="1167"/>
    </row>
    <row r="121" spans="1:18">
      <c r="A121" s="1167"/>
      <c r="B121" s="1167"/>
      <c r="C121" s="1167"/>
      <c r="D121" s="1167"/>
      <c r="E121" s="1167"/>
      <c r="F121" s="1167"/>
      <c r="G121" s="1167"/>
      <c r="H121" s="1167"/>
      <c r="I121" s="1167"/>
      <c r="J121" s="1167"/>
      <c r="K121" s="1167"/>
      <c r="L121" s="1167"/>
      <c r="M121" s="1167"/>
      <c r="N121" s="1167"/>
      <c r="O121" s="1167"/>
      <c r="P121" s="1167"/>
      <c r="Q121" s="1167"/>
      <c r="R121" s="1167"/>
    </row>
    <row r="122" spans="1:18">
      <c r="A122" s="1167"/>
      <c r="B122" s="1167"/>
      <c r="C122" s="1167"/>
      <c r="D122" s="1167"/>
      <c r="E122" s="1167"/>
      <c r="F122" s="1167"/>
      <c r="G122" s="1167"/>
      <c r="H122" s="1167"/>
      <c r="I122" s="1167"/>
      <c r="J122" s="1167"/>
      <c r="K122" s="1167"/>
      <c r="L122" s="1167"/>
      <c r="M122" s="1167"/>
      <c r="N122" s="1167"/>
      <c r="O122" s="1167"/>
      <c r="P122" s="1167"/>
      <c r="Q122" s="1167"/>
      <c r="R122" s="1167"/>
    </row>
    <row r="123" spans="1:18">
      <c r="A123" s="1167"/>
      <c r="B123" s="1167"/>
      <c r="C123" s="1167"/>
      <c r="D123" s="1167"/>
      <c r="E123" s="1167"/>
      <c r="F123" s="1167"/>
      <c r="G123" s="1167"/>
      <c r="H123" s="1167"/>
      <c r="I123" s="1167"/>
      <c r="J123" s="1167"/>
      <c r="K123" s="1167"/>
      <c r="L123" s="1167"/>
      <c r="M123" s="1167"/>
      <c r="N123" s="1167"/>
      <c r="O123" s="1167"/>
      <c r="P123" s="1167"/>
      <c r="Q123" s="1167"/>
      <c r="R123" s="1167"/>
    </row>
    <row r="124" spans="1:18">
      <c r="A124" s="1167"/>
      <c r="B124" s="1167"/>
      <c r="C124" s="1167"/>
      <c r="D124" s="1167"/>
      <c r="E124" s="1167"/>
      <c r="F124" s="1167"/>
      <c r="G124" s="1167"/>
      <c r="H124" s="1167"/>
      <c r="I124" s="1167"/>
      <c r="J124" s="1167"/>
      <c r="K124" s="1167"/>
      <c r="L124" s="1167"/>
      <c r="M124" s="1167"/>
      <c r="N124" s="1167"/>
      <c r="O124" s="1167"/>
      <c r="P124" s="1167"/>
      <c r="Q124" s="1167"/>
      <c r="R124" s="1167"/>
    </row>
    <row r="125" spans="1:18">
      <c r="A125" s="1167"/>
      <c r="B125" s="1167"/>
      <c r="C125" s="1167"/>
      <c r="D125" s="1167"/>
      <c r="E125" s="1167"/>
      <c r="F125" s="1167"/>
      <c r="G125" s="1167"/>
      <c r="H125" s="1167"/>
      <c r="I125" s="1167"/>
      <c r="J125" s="1167"/>
      <c r="K125" s="1167"/>
      <c r="L125" s="1167"/>
      <c r="M125" s="1167"/>
      <c r="N125" s="1167"/>
      <c r="O125" s="1167"/>
      <c r="P125" s="1167"/>
      <c r="Q125" s="1167"/>
      <c r="R125" s="1167"/>
    </row>
    <row r="126" spans="1:18">
      <c r="A126" s="1167"/>
      <c r="B126" s="1167"/>
      <c r="C126" s="1167"/>
      <c r="D126" s="1167"/>
      <c r="E126" s="1167"/>
      <c r="F126" s="1167"/>
      <c r="G126" s="1167"/>
      <c r="H126" s="1167"/>
      <c r="I126" s="1167"/>
      <c r="J126" s="1167"/>
      <c r="K126" s="1167"/>
      <c r="L126" s="1167"/>
      <c r="M126" s="1167"/>
      <c r="N126" s="1167"/>
      <c r="O126" s="1167"/>
      <c r="P126" s="1167"/>
      <c r="Q126" s="1167"/>
      <c r="R126" s="1167"/>
    </row>
    <row r="127" spans="1:18">
      <c r="A127" s="1167"/>
      <c r="B127" s="1167"/>
      <c r="C127" s="1167"/>
      <c r="D127" s="1167"/>
      <c r="E127" s="1167"/>
      <c r="F127" s="1167"/>
      <c r="G127" s="1167"/>
      <c r="H127" s="1167"/>
      <c r="I127" s="1167"/>
      <c r="J127" s="1167"/>
      <c r="K127" s="1167"/>
      <c r="L127" s="1167"/>
      <c r="M127" s="1167"/>
      <c r="N127" s="1167"/>
      <c r="O127" s="1167"/>
      <c r="P127" s="1167"/>
      <c r="Q127" s="1167"/>
      <c r="R127" s="1167"/>
    </row>
    <row r="128" spans="1:18">
      <c r="A128" s="1167"/>
      <c r="B128" s="1167"/>
      <c r="C128" s="1167"/>
      <c r="D128" s="1167"/>
      <c r="E128" s="1167"/>
      <c r="F128" s="1167"/>
      <c r="G128" s="1167"/>
      <c r="H128" s="1167"/>
      <c r="I128" s="1167"/>
      <c r="J128" s="1167"/>
      <c r="K128" s="1167"/>
      <c r="L128" s="1167"/>
      <c r="M128" s="1167"/>
      <c r="N128" s="1167"/>
      <c r="O128" s="1167"/>
      <c r="P128" s="1167"/>
      <c r="Q128" s="1167"/>
      <c r="R128" s="1167"/>
    </row>
    <row r="129" spans="1:18">
      <c r="A129" s="1167"/>
      <c r="B129" s="1167"/>
      <c r="C129" s="1167"/>
      <c r="D129" s="1167"/>
      <c r="E129" s="1167"/>
      <c r="F129" s="1167"/>
      <c r="G129" s="1167"/>
      <c r="H129" s="1167"/>
      <c r="I129" s="1167"/>
      <c r="J129" s="1167"/>
      <c r="K129" s="1167"/>
      <c r="L129" s="1167"/>
      <c r="M129" s="1167"/>
      <c r="N129" s="1167"/>
      <c r="O129" s="1167"/>
      <c r="P129" s="1167"/>
      <c r="Q129" s="1167"/>
      <c r="R129" s="1167"/>
    </row>
    <row r="130" spans="1:18">
      <c r="A130" s="1167"/>
      <c r="B130" s="1167"/>
      <c r="C130" s="1167"/>
      <c r="D130" s="1167"/>
      <c r="E130" s="1167"/>
      <c r="F130" s="1167"/>
      <c r="G130" s="1167"/>
      <c r="H130" s="1167"/>
      <c r="I130" s="1167"/>
      <c r="J130" s="1167"/>
      <c r="K130" s="1167"/>
      <c r="L130" s="1167"/>
      <c r="M130" s="1167"/>
      <c r="N130" s="1167"/>
      <c r="O130" s="1167"/>
      <c r="P130" s="1167"/>
      <c r="Q130" s="1167"/>
      <c r="R130" s="1167"/>
    </row>
    <row r="131" spans="1:18">
      <c r="A131" s="1167"/>
      <c r="B131" s="1167"/>
      <c r="C131" s="1167"/>
      <c r="D131" s="1167"/>
      <c r="E131" s="1167"/>
      <c r="F131" s="1167"/>
      <c r="G131" s="1167"/>
      <c r="H131" s="1167"/>
      <c r="I131" s="1167"/>
      <c r="J131" s="1167"/>
      <c r="K131" s="1167"/>
      <c r="L131" s="1167"/>
      <c r="M131" s="1167"/>
      <c r="N131" s="1167"/>
      <c r="O131" s="1167"/>
      <c r="P131" s="1167"/>
      <c r="Q131" s="1167"/>
      <c r="R131" s="1167"/>
    </row>
    <row r="132" spans="1:18">
      <c r="A132" s="1167"/>
      <c r="B132" s="1167"/>
      <c r="C132" s="1167"/>
      <c r="D132" s="1167"/>
      <c r="E132" s="1167"/>
      <c r="F132" s="1167"/>
      <c r="G132" s="1167"/>
      <c r="H132" s="1167"/>
      <c r="I132" s="1167"/>
      <c r="J132" s="1167"/>
      <c r="K132" s="1167"/>
      <c r="L132" s="1167"/>
      <c r="M132" s="1167"/>
      <c r="N132" s="1167"/>
      <c r="O132" s="1167"/>
      <c r="P132" s="1167"/>
      <c r="Q132" s="1167"/>
      <c r="R132" s="1167"/>
    </row>
    <row r="133" spans="1:18">
      <c r="A133" s="1167"/>
      <c r="B133" s="1167"/>
      <c r="C133" s="1167"/>
      <c r="D133" s="1167"/>
      <c r="E133" s="1167"/>
      <c r="F133" s="1167"/>
      <c r="G133" s="1167"/>
      <c r="H133" s="1167"/>
      <c r="I133" s="1167"/>
      <c r="J133" s="1167"/>
      <c r="K133" s="1167"/>
      <c r="L133" s="1167"/>
      <c r="M133" s="1167"/>
      <c r="N133" s="1167"/>
      <c r="O133" s="1167"/>
      <c r="P133" s="1167"/>
      <c r="Q133" s="1167"/>
      <c r="R133" s="1167"/>
    </row>
    <row r="134" spans="1:18">
      <c r="A134" s="1167"/>
      <c r="B134" s="1167"/>
      <c r="C134" s="1167"/>
      <c r="D134" s="1167"/>
      <c r="E134" s="1167"/>
      <c r="F134" s="1167"/>
      <c r="G134" s="1167"/>
      <c r="H134" s="1167"/>
      <c r="I134" s="1167"/>
      <c r="J134" s="1167"/>
      <c r="K134" s="1167"/>
      <c r="L134" s="1167"/>
      <c r="M134" s="1167"/>
      <c r="N134" s="1167"/>
      <c r="O134" s="1167"/>
      <c r="P134" s="1167"/>
      <c r="Q134" s="1167"/>
      <c r="R134" s="1167"/>
    </row>
    <row r="135" spans="1:18">
      <c r="A135" s="1167"/>
      <c r="B135" s="1167"/>
      <c r="C135" s="1167"/>
      <c r="D135" s="1167"/>
      <c r="E135" s="1167"/>
      <c r="F135" s="1167"/>
      <c r="G135" s="1167"/>
      <c r="H135" s="1167"/>
      <c r="I135" s="1167"/>
      <c r="J135" s="1167"/>
      <c r="K135" s="1167"/>
      <c r="L135" s="1167"/>
      <c r="M135" s="1167"/>
      <c r="N135" s="1167"/>
      <c r="O135" s="1167"/>
      <c r="P135" s="1167"/>
      <c r="Q135" s="1167"/>
      <c r="R135" s="1167"/>
    </row>
    <row r="136" spans="1:18">
      <c r="A136" s="1167"/>
      <c r="B136" s="1167"/>
      <c r="C136" s="1167"/>
      <c r="D136" s="1167"/>
      <c r="E136" s="1167"/>
      <c r="F136" s="1167"/>
      <c r="G136" s="1167"/>
      <c r="H136" s="1167"/>
      <c r="I136" s="1167"/>
      <c r="J136" s="1167"/>
      <c r="K136" s="1167"/>
      <c r="L136" s="1167"/>
      <c r="M136" s="1167"/>
      <c r="N136" s="1167"/>
      <c r="O136" s="1167"/>
      <c r="P136" s="1167"/>
      <c r="Q136" s="1167"/>
      <c r="R136" s="1167"/>
    </row>
    <row r="137" spans="1:18">
      <c r="A137" s="1167"/>
      <c r="B137" s="1167"/>
      <c r="C137" s="1167"/>
      <c r="D137" s="1167"/>
      <c r="E137" s="1167"/>
      <c r="F137" s="1167"/>
      <c r="G137" s="1167"/>
      <c r="H137" s="1167"/>
      <c r="I137" s="1167"/>
      <c r="J137" s="1167"/>
      <c r="K137" s="1167"/>
      <c r="L137" s="1167"/>
      <c r="M137" s="1167"/>
      <c r="N137" s="1167"/>
      <c r="O137" s="1167"/>
      <c r="P137" s="1167"/>
      <c r="Q137" s="1167"/>
      <c r="R137" s="1167"/>
    </row>
    <row r="138" spans="1:18">
      <c r="A138" s="1167"/>
      <c r="B138" s="1167"/>
      <c r="C138" s="1167"/>
      <c r="D138" s="1167"/>
      <c r="E138" s="1167"/>
      <c r="F138" s="1167"/>
      <c r="G138" s="1167"/>
      <c r="H138" s="1167"/>
      <c r="I138" s="1167"/>
      <c r="J138" s="1167"/>
      <c r="K138" s="1167"/>
      <c r="L138" s="1167"/>
      <c r="M138" s="1167"/>
      <c r="N138" s="1167"/>
      <c r="O138" s="1167"/>
      <c r="P138" s="1167"/>
      <c r="Q138" s="1167"/>
      <c r="R138" s="1167"/>
    </row>
    <row r="139" spans="1:18">
      <c r="A139" s="1167"/>
      <c r="B139" s="1167"/>
      <c r="C139" s="1167"/>
      <c r="D139" s="1167"/>
      <c r="E139" s="1167"/>
      <c r="F139" s="1167"/>
      <c r="G139" s="1167"/>
      <c r="H139" s="1167"/>
      <c r="I139" s="1167"/>
      <c r="J139" s="1167"/>
      <c r="K139" s="1167"/>
      <c r="L139" s="1167"/>
      <c r="M139" s="1167"/>
      <c r="N139" s="1167"/>
      <c r="O139" s="1167"/>
      <c r="P139" s="1167"/>
      <c r="Q139" s="1167"/>
      <c r="R139" s="1167"/>
    </row>
    <row r="140" spans="1:18">
      <c r="A140" s="1167"/>
      <c r="B140" s="1167"/>
      <c r="C140" s="1167"/>
      <c r="D140" s="1167"/>
      <c r="E140" s="1167"/>
      <c r="F140" s="1167"/>
      <c r="G140" s="1167"/>
      <c r="H140" s="1167"/>
      <c r="I140" s="1167"/>
      <c r="J140" s="1167"/>
      <c r="K140" s="1167"/>
      <c r="L140" s="1167"/>
      <c r="M140" s="1167"/>
      <c r="N140" s="1167"/>
      <c r="O140" s="1167"/>
      <c r="P140" s="1167"/>
      <c r="Q140" s="1167"/>
      <c r="R140" s="1167"/>
    </row>
    <row r="141" spans="1:18">
      <c r="A141" s="1167"/>
      <c r="B141" s="1167"/>
      <c r="C141" s="1167"/>
      <c r="D141" s="1167"/>
      <c r="E141" s="1167"/>
      <c r="F141" s="1167"/>
      <c r="G141" s="1167"/>
      <c r="H141" s="1167"/>
      <c r="I141" s="1167"/>
      <c r="J141" s="1167"/>
      <c r="K141" s="1167"/>
      <c r="L141" s="1167"/>
      <c r="M141" s="1167"/>
      <c r="N141" s="1167"/>
      <c r="O141" s="1167"/>
      <c r="P141" s="1167"/>
      <c r="Q141" s="1167"/>
      <c r="R141" s="1167"/>
    </row>
    <row r="142" spans="1:18">
      <c r="A142" s="1167"/>
      <c r="B142" s="1167"/>
      <c r="C142" s="1167"/>
      <c r="D142" s="1167"/>
      <c r="E142" s="1167"/>
      <c r="F142" s="1167"/>
      <c r="G142" s="1167"/>
      <c r="H142" s="1167"/>
      <c r="I142" s="1167"/>
      <c r="J142" s="1167"/>
      <c r="K142" s="1167"/>
      <c r="L142" s="1167"/>
      <c r="M142" s="1167"/>
      <c r="N142" s="1167"/>
      <c r="O142" s="1167"/>
      <c r="P142" s="1167"/>
      <c r="Q142" s="1167"/>
      <c r="R142" s="1167"/>
    </row>
    <row r="143" spans="1:18">
      <c r="A143" s="1167"/>
      <c r="B143" s="1167"/>
      <c r="C143" s="1167"/>
      <c r="D143" s="1167"/>
      <c r="E143" s="1167"/>
      <c r="F143" s="1167"/>
      <c r="G143" s="1167"/>
      <c r="H143" s="1167"/>
      <c r="I143" s="1167"/>
      <c r="J143" s="1167"/>
      <c r="K143" s="1167"/>
      <c r="L143" s="1167"/>
      <c r="M143" s="1167"/>
      <c r="N143" s="1167"/>
      <c r="O143" s="1167"/>
      <c r="P143" s="1167"/>
      <c r="Q143" s="1167"/>
      <c r="R143" s="1167"/>
    </row>
    <row r="144" spans="1:18">
      <c r="A144" s="1167"/>
      <c r="B144" s="1167"/>
      <c r="C144" s="1167"/>
      <c r="D144" s="1167"/>
      <c r="E144" s="1167"/>
      <c r="F144" s="1167"/>
      <c r="G144" s="1167"/>
      <c r="H144" s="1167"/>
      <c r="I144" s="1167"/>
      <c r="J144" s="1167"/>
      <c r="K144" s="1167"/>
      <c r="L144" s="1167"/>
      <c r="M144" s="1167"/>
      <c r="N144" s="1167"/>
      <c r="O144" s="1167"/>
      <c r="P144" s="1167"/>
      <c r="Q144" s="1167"/>
      <c r="R144" s="1167"/>
    </row>
    <row r="145" spans="1:18">
      <c r="A145" s="1167"/>
      <c r="B145" s="1167"/>
      <c r="C145" s="1167"/>
      <c r="D145" s="1167"/>
      <c r="E145" s="1167"/>
      <c r="F145" s="1167"/>
      <c r="G145" s="1167"/>
      <c r="H145" s="1167"/>
      <c r="I145" s="1167"/>
      <c r="J145" s="1167"/>
      <c r="K145" s="1167"/>
      <c r="L145" s="1167"/>
      <c r="M145" s="1167"/>
      <c r="N145" s="1167"/>
      <c r="O145" s="1167"/>
      <c r="P145" s="1167"/>
      <c r="Q145" s="1167"/>
      <c r="R145" s="1167"/>
    </row>
    <row r="146" spans="1:18">
      <c r="A146" s="1167"/>
      <c r="B146" s="1167"/>
      <c r="C146" s="1167"/>
      <c r="D146" s="1167"/>
      <c r="E146" s="1167"/>
      <c r="F146" s="1167"/>
      <c r="G146" s="1167"/>
      <c r="H146" s="1167"/>
      <c r="I146" s="1167"/>
      <c r="J146" s="1167"/>
      <c r="K146" s="1167"/>
      <c r="L146" s="1167"/>
      <c r="M146" s="1167"/>
      <c r="N146" s="1167"/>
      <c r="O146" s="1167"/>
      <c r="P146" s="1167"/>
      <c r="Q146" s="1167"/>
      <c r="R146" s="1167"/>
    </row>
    <row r="147" spans="1:18">
      <c r="A147" s="1167"/>
      <c r="B147" s="1167"/>
      <c r="C147" s="1167"/>
      <c r="D147" s="1167"/>
      <c r="E147" s="1167"/>
      <c r="F147" s="1167"/>
      <c r="G147" s="1167"/>
      <c r="H147" s="1167"/>
      <c r="I147" s="1167"/>
      <c r="J147" s="1167"/>
      <c r="K147" s="1167"/>
      <c r="L147" s="1167"/>
      <c r="M147" s="1167"/>
      <c r="N147" s="1167"/>
      <c r="O147" s="1167"/>
      <c r="P147" s="1167"/>
      <c r="Q147" s="1167"/>
      <c r="R147" s="1167"/>
    </row>
    <row r="148" spans="1:18">
      <c r="A148" s="1167"/>
      <c r="B148" s="1167"/>
      <c r="C148" s="1167"/>
      <c r="D148" s="1167"/>
      <c r="E148" s="1167"/>
      <c r="F148" s="1167"/>
      <c r="G148" s="1167"/>
      <c r="H148" s="1167"/>
      <c r="I148" s="1167"/>
      <c r="J148" s="1167"/>
      <c r="K148" s="1167"/>
      <c r="L148" s="1167"/>
      <c r="M148" s="1167"/>
      <c r="N148" s="1167"/>
      <c r="O148" s="1167"/>
      <c r="P148" s="1167"/>
      <c r="Q148" s="1167"/>
      <c r="R148" s="1167"/>
    </row>
    <row r="149" spans="1:18">
      <c r="A149" s="1167"/>
      <c r="B149" s="1167"/>
      <c r="C149" s="1167"/>
      <c r="D149" s="1167"/>
      <c r="E149" s="1167"/>
      <c r="F149" s="1167"/>
      <c r="G149" s="1167"/>
      <c r="H149" s="1167"/>
      <c r="I149" s="1167"/>
      <c r="J149" s="1167"/>
      <c r="K149" s="1167"/>
      <c r="L149" s="1167"/>
      <c r="M149" s="1167"/>
      <c r="N149" s="1167"/>
      <c r="O149" s="1167"/>
      <c r="P149" s="1167"/>
      <c r="Q149" s="1167"/>
      <c r="R149" s="1167"/>
    </row>
    <row r="150" spans="1:18">
      <c r="A150" s="1167"/>
      <c r="B150" s="1167"/>
      <c r="C150" s="1167"/>
      <c r="D150" s="1167"/>
      <c r="E150" s="1167"/>
      <c r="F150" s="1167"/>
      <c r="G150" s="1167"/>
      <c r="H150" s="1167"/>
      <c r="I150" s="1167"/>
      <c r="J150" s="1167"/>
      <c r="K150" s="1167"/>
      <c r="L150" s="1167"/>
      <c r="M150" s="1167"/>
      <c r="N150" s="1167"/>
      <c r="O150" s="1167"/>
      <c r="P150" s="1167"/>
      <c r="Q150" s="1167"/>
      <c r="R150" s="1167"/>
    </row>
    <row r="151" spans="1:18">
      <c r="A151" s="1167"/>
      <c r="B151" s="1167"/>
      <c r="C151" s="1167"/>
      <c r="D151" s="1167"/>
      <c r="E151" s="1167"/>
      <c r="F151" s="1167"/>
      <c r="G151" s="1167"/>
      <c r="H151" s="1167"/>
      <c r="I151" s="1167"/>
      <c r="J151" s="1167"/>
      <c r="K151" s="1167"/>
      <c r="L151" s="1167"/>
      <c r="M151" s="1167"/>
      <c r="N151" s="1167"/>
      <c r="O151" s="1167"/>
      <c r="P151" s="1167"/>
      <c r="Q151" s="1167"/>
      <c r="R151" s="1167"/>
    </row>
    <row r="152" spans="1:18">
      <c r="A152" s="1167"/>
      <c r="B152" s="1167"/>
      <c r="C152" s="1167"/>
      <c r="D152" s="1167"/>
      <c r="E152" s="1167"/>
      <c r="F152" s="1167"/>
      <c r="G152" s="1167"/>
      <c r="H152" s="1167"/>
      <c r="I152" s="1167"/>
      <c r="J152" s="1167"/>
      <c r="K152" s="1167"/>
      <c r="L152" s="1167"/>
      <c r="M152" s="1167"/>
      <c r="N152" s="1167"/>
      <c r="O152" s="1167"/>
      <c r="P152" s="1167"/>
      <c r="Q152" s="1167"/>
      <c r="R152" s="1167"/>
    </row>
    <row r="153" spans="1:18">
      <c r="A153" s="1167"/>
      <c r="B153" s="1167"/>
      <c r="C153" s="1167"/>
      <c r="D153" s="1167"/>
      <c r="E153" s="1167"/>
      <c r="F153" s="1167"/>
      <c r="G153" s="1167"/>
      <c r="H153" s="1167"/>
      <c r="I153" s="1167"/>
      <c r="J153" s="1167"/>
      <c r="K153" s="1167"/>
      <c r="L153" s="1167"/>
      <c r="M153" s="1167"/>
      <c r="N153" s="1167"/>
      <c r="O153" s="1167"/>
      <c r="P153" s="1167"/>
      <c r="Q153" s="1167"/>
      <c r="R153" s="1167"/>
    </row>
    <row r="154" spans="1:18">
      <c r="A154" s="1167"/>
      <c r="B154" s="1167"/>
      <c r="C154" s="1167"/>
      <c r="D154" s="1167"/>
      <c r="E154" s="1167"/>
      <c r="F154" s="1167"/>
      <c r="G154" s="1167"/>
      <c r="H154" s="1167"/>
      <c r="I154" s="1167"/>
      <c r="J154" s="1167"/>
      <c r="K154" s="1167"/>
      <c r="L154" s="1167"/>
      <c r="M154" s="1167"/>
      <c r="N154" s="1167"/>
      <c r="O154" s="1167"/>
      <c r="P154" s="1167"/>
      <c r="Q154" s="1167"/>
      <c r="R154" s="1167"/>
    </row>
    <row r="155" spans="1:18">
      <c r="A155" s="1167"/>
      <c r="B155" s="1167"/>
      <c r="C155" s="1167"/>
      <c r="D155" s="1167"/>
      <c r="E155" s="1167"/>
      <c r="F155" s="1167"/>
      <c r="G155" s="1167"/>
      <c r="H155" s="1167"/>
      <c r="I155" s="1167"/>
      <c r="J155" s="1167"/>
      <c r="K155" s="1167"/>
      <c r="L155" s="1167"/>
      <c r="M155" s="1167"/>
      <c r="N155" s="1167"/>
      <c r="O155" s="1167"/>
      <c r="P155" s="1167"/>
      <c r="Q155" s="1167"/>
      <c r="R155" s="1167"/>
    </row>
    <row r="156" spans="1:18">
      <c r="A156" s="1167"/>
      <c r="B156" s="1167"/>
      <c r="C156" s="1167"/>
      <c r="D156" s="1167"/>
      <c r="E156" s="1167"/>
      <c r="F156" s="1167"/>
      <c r="G156" s="1167"/>
      <c r="H156" s="1167"/>
      <c r="I156" s="1167"/>
      <c r="J156" s="1167"/>
      <c r="K156" s="1167"/>
      <c r="L156" s="1167"/>
      <c r="M156" s="1167"/>
      <c r="N156" s="1167"/>
      <c r="O156" s="1167"/>
      <c r="P156" s="1167"/>
      <c r="Q156" s="1167"/>
      <c r="R156" s="1167"/>
    </row>
    <row r="157" spans="1:18">
      <c r="A157" s="1167"/>
      <c r="B157" s="1167"/>
      <c r="C157" s="1167"/>
      <c r="D157" s="1167"/>
      <c r="E157" s="1167"/>
      <c r="F157" s="1167"/>
      <c r="G157" s="1167"/>
      <c r="H157" s="1167"/>
      <c r="I157" s="1167"/>
      <c r="J157" s="1167"/>
      <c r="K157" s="1167"/>
      <c r="L157" s="1167"/>
      <c r="M157" s="1167"/>
      <c r="N157" s="1167"/>
      <c r="O157" s="1167"/>
      <c r="P157" s="1167"/>
      <c r="Q157" s="1167"/>
      <c r="R157" s="1167"/>
    </row>
    <row r="158" spans="1:18">
      <c r="A158" s="1167"/>
      <c r="B158" s="1167"/>
      <c r="C158" s="1167"/>
      <c r="D158" s="1167"/>
      <c r="E158" s="1167"/>
      <c r="F158" s="1167"/>
      <c r="G158" s="1167"/>
      <c r="H158" s="1167"/>
      <c r="I158" s="1167"/>
      <c r="J158" s="1167"/>
      <c r="K158" s="1167"/>
      <c r="L158" s="1167"/>
      <c r="M158" s="1167"/>
      <c r="N158" s="1167"/>
      <c r="O158" s="1167"/>
      <c r="P158" s="1167"/>
      <c r="Q158" s="1167"/>
      <c r="R158" s="1167"/>
    </row>
    <row r="159" spans="1:18">
      <c r="A159" s="1167"/>
      <c r="B159" s="1167"/>
      <c r="C159" s="1167"/>
      <c r="D159" s="1167"/>
      <c r="E159" s="1167"/>
      <c r="F159" s="1167"/>
      <c r="G159" s="1167"/>
      <c r="H159" s="1167"/>
      <c r="I159" s="1167"/>
      <c r="J159" s="1167"/>
      <c r="K159" s="1167"/>
      <c r="L159" s="1167"/>
      <c r="M159" s="1167"/>
      <c r="N159" s="1167"/>
      <c r="O159" s="1167"/>
      <c r="P159" s="1167"/>
      <c r="Q159" s="1167"/>
      <c r="R159" s="1167"/>
    </row>
    <row r="160" spans="1:18">
      <c r="A160" s="1167"/>
      <c r="B160" s="1167"/>
      <c r="C160" s="1167"/>
      <c r="D160" s="1167"/>
      <c r="E160" s="1167"/>
      <c r="F160" s="1167"/>
      <c r="G160" s="1167"/>
      <c r="H160" s="1167"/>
      <c r="I160" s="1167"/>
      <c r="J160" s="1167"/>
      <c r="K160" s="1167"/>
      <c r="L160" s="1167"/>
      <c r="M160" s="1167"/>
      <c r="N160" s="1167"/>
      <c r="O160" s="1167"/>
      <c r="P160" s="1167"/>
      <c r="Q160" s="1167"/>
      <c r="R160" s="1167"/>
    </row>
    <row r="161" spans="1:18">
      <c r="A161" s="1167"/>
      <c r="B161" s="1167"/>
      <c r="C161" s="1167"/>
      <c r="D161" s="1167"/>
      <c r="E161" s="1167"/>
      <c r="F161" s="1167"/>
      <c r="G161" s="1167"/>
      <c r="H161" s="1167"/>
      <c r="I161" s="1167"/>
      <c r="J161" s="1167"/>
      <c r="K161" s="1167"/>
      <c r="L161" s="1167"/>
      <c r="M161" s="1167"/>
      <c r="N161" s="1167"/>
      <c r="O161" s="1167"/>
      <c r="P161" s="1167"/>
      <c r="Q161" s="1167"/>
      <c r="R161" s="1167"/>
    </row>
    <row r="162" spans="1:18">
      <c r="A162" s="1167"/>
      <c r="B162" s="1167"/>
      <c r="C162" s="1167"/>
      <c r="D162" s="1167"/>
      <c r="E162" s="1167"/>
      <c r="F162" s="1167"/>
      <c r="G162" s="1167"/>
      <c r="H162" s="1167"/>
      <c r="I162" s="1167"/>
      <c r="J162" s="1167"/>
      <c r="K162" s="1167"/>
      <c r="L162" s="1167"/>
      <c r="M162" s="1167"/>
      <c r="N162" s="1167"/>
      <c r="O162" s="1167"/>
      <c r="P162" s="1167"/>
      <c r="Q162" s="1167"/>
      <c r="R162" s="1167"/>
    </row>
    <row r="163" spans="1:18">
      <c r="A163" s="1167"/>
      <c r="B163" s="1167"/>
      <c r="C163" s="1167"/>
      <c r="D163" s="1167"/>
      <c r="E163" s="1167"/>
      <c r="F163" s="1167"/>
      <c r="G163" s="1167"/>
      <c r="H163" s="1167"/>
      <c r="I163" s="1167"/>
      <c r="J163" s="1167"/>
      <c r="K163" s="1167"/>
      <c r="L163" s="1167"/>
      <c r="M163" s="1167"/>
      <c r="N163" s="1167"/>
      <c r="O163" s="1167"/>
      <c r="P163" s="1167"/>
      <c r="Q163" s="1167"/>
      <c r="R163" s="1167"/>
    </row>
    <row r="164" spans="1:18">
      <c r="A164" s="1167"/>
      <c r="B164" s="1167"/>
      <c r="C164" s="1167"/>
      <c r="D164" s="1167"/>
      <c r="E164" s="1167"/>
      <c r="F164" s="1167"/>
      <c r="G164" s="1167"/>
      <c r="H164" s="1167"/>
      <c r="I164" s="1167"/>
      <c r="J164" s="1167"/>
      <c r="K164" s="1167"/>
      <c r="L164" s="1167"/>
      <c r="M164" s="1167"/>
      <c r="N164" s="1167"/>
      <c r="O164" s="1167"/>
      <c r="P164" s="1167"/>
      <c r="Q164" s="1167"/>
      <c r="R164" s="1167"/>
    </row>
    <row r="165" spans="1:18">
      <c r="A165" s="1167"/>
      <c r="B165" s="1167"/>
      <c r="C165" s="1167"/>
      <c r="D165" s="1167"/>
      <c r="E165" s="1167"/>
      <c r="F165" s="1167"/>
      <c r="G165" s="1167"/>
      <c r="H165" s="1167"/>
      <c r="I165" s="1167"/>
      <c r="J165" s="1167"/>
      <c r="K165" s="1167"/>
      <c r="L165" s="1167"/>
      <c r="M165" s="1167"/>
      <c r="N165" s="1167"/>
      <c r="O165" s="1167"/>
      <c r="P165" s="1167"/>
      <c r="Q165" s="1167"/>
      <c r="R165" s="1167"/>
    </row>
    <row r="166" spans="1:18">
      <c r="A166" s="1167"/>
      <c r="B166" s="1167"/>
      <c r="C166" s="1167"/>
      <c r="D166" s="1167"/>
      <c r="E166" s="1167"/>
      <c r="F166" s="1167"/>
      <c r="G166" s="1167"/>
      <c r="H166" s="1167"/>
      <c r="I166" s="1167"/>
      <c r="J166" s="1167"/>
      <c r="K166" s="1167"/>
      <c r="L166" s="1167"/>
      <c r="M166" s="1167"/>
      <c r="N166" s="1167"/>
      <c r="O166" s="1167"/>
      <c r="P166" s="1167"/>
      <c r="Q166" s="1167"/>
      <c r="R166" s="1167"/>
    </row>
    <row r="167" spans="1:18">
      <c r="A167" s="1167"/>
      <c r="B167" s="1167"/>
      <c r="C167" s="1167"/>
      <c r="D167" s="1167"/>
      <c r="E167" s="1167"/>
      <c r="F167" s="1167"/>
      <c r="G167" s="1167"/>
      <c r="H167" s="1167"/>
      <c r="I167" s="1167"/>
      <c r="J167" s="1167"/>
      <c r="K167" s="1167"/>
      <c r="L167" s="1167"/>
      <c r="M167" s="1167"/>
      <c r="N167" s="1167"/>
      <c r="O167" s="1167"/>
      <c r="P167" s="1167"/>
      <c r="Q167" s="1167"/>
      <c r="R167" s="1167"/>
    </row>
    <row r="168" spans="1:18">
      <c r="A168" s="1167"/>
      <c r="B168" s="1167"/>
      <c r="C168" s="1167"/>
      <c r="D168" s="1167"/>
      <c r="E168" s="1167"/>
      <c r="F168" s="1167"/>
      <c r="G168" s="1167"/>
      <c r="H168" s="1167"/>
      <c r="I168" s="1167"/>
      <c r="J168" s="1167"/>
      <c r="K168" s="1167"/>
      <c r="L168" s="1167"/>
      <c r="M168" s="1167"/>
      <c r="N168" s="1167"/>
      <c r="O168" s="1167"/>
      <c r="P168" s="1167"/>
      <c r="Q168" s="1167"/>
      <c r="R168" s="1167"/>
    </row>
    <row r="169" spans="1:18">
      <c r="A169" s="1167"/>
      <c r="B169" s="1167"/>
      <c r="C169" s="1167"/>
      <c r="D169" s="1167"/>
      <c r="E169" s="1167"/>
      <c r="F169" s="1167"/>
      <c r="G169" s="1167"/>
      <c r="H169" s="1167"/>
      <c r="I169" s="1167"/>
      <c r="J169" s="1167"/>
      <c r="K169" s="1167"/>
      <c r="L169" s="1167"/>
      <c r="M169" s="1167"/>
      <c r="N169" s="1167"/>
      <c r="O169" s="1167"/>
      <c r="P169" s="1167"/>
      <c r="Q169" s="1167"/>
      <c r="R169" s="1167"/>
    </row>
    <row r="170" spans="1:18">
      <c r="A170" s="1167"/>
      <c r="B170" s="1167"/>
      <c r="C170" s="1167"/>
      <c r="D170" s="1167"/>
      <c r="E170" s="1167"/>
      <c r="F170" s="1167"/>
      <c r="G170" s="1167"/>
      <c r="H170" s="1167"/>
      <c r="I170" s="1167"/>
      <c r="J170" s="1167"/>
      <c r="K170" s="1167"/>
      <c r="L170" s="1167"/>
      <c r="M170" s="1167"/>
      <c r="N170" s="1167"/>
      <c r="O170" s="1167"/>
      <c r="P170" s="1167"/>
      <c r="Q170" s="1167"/>
      <c r="R170" s="1167"/>
    </row>
    <row r="171" spans="1:18">
      <c r="A171" s="1167"/>
      <c r="B171" s="1167"/>
      <c r="C171" s="1167"/>
      <c r="D171" s="1167"/>
      <c r="E171" s="1167"/>
      <c r="F171" s="1167"/>
      <c r="G171" s="1167"/>
      <c r="H171" s="1167"/>
      <c r="I171" s="1167"/>
      <c r="J171" s="1167"/>
      <c r="K171" s="1167"/>
      <c r="L171" s="1167"/>
      <c r="M171" s="1167"/>
      <c r="N171" s="1167"/>
      <c r="O171" s="1167"/>
      <c r="P171" s="1167"/>
      <c r="Q171" s="1167"/>
      <c r="R171" s="1167"/>
    </row>
    <row r="172" spans="1:18">
      <c r="A172" s="1167"/>
      <c r="B172" s="1167"/>
      <c r="C172" s="1167"/>
      <c r="D172" s="1167"/>
      <c r="E172" s="1167"/>
      <c r="F172" s="1167"/>
      <c r="G172" s="1167"/>
      <c r="H172" s="1167"/>
      <c r="I172" s="1167"/>
      <c r="J172" s="1167"/>
      <c r="K172" s="1167"/>
      <c r="L172" s="1167"/>
      <c r="M172" s="1167"/>
      <c r="N172" s="1167"/>
      <c r="O172" s="1167"/>
      <c r="P172" s="1167"/>
      <c r="Q172" s="1167"/>
      <c r="R172" s="1167"/>
    </row>
    <row r="173" spans="1:18">
      <c r="A173" s="1167"/>
      <c r="B173" s="1167"/>
      <c r="C173" s="1167"/>
      <c r="D173" s="1167"/>
      <c r="E173" s="1167"/>
      <c r="F173" s="1167"/>
      <c r="G173" s="1167"/>
      <c r="H173" s="1167"/>
      <c r="I173" s="1167"/>
      <c r="J173" s="1167"/>
      <c r="K173" s="1167"/>
      <c r="L173" s="1167"/>
      <c r="M173" s="1167"/>
      <c r="N173" s="1167"/>
      <c r="O173" s="1167"/>
      <c r="P173" s="1167"/>
      <c r="Q173" s="1167"/>
      <c r="R173" s="1167"/>
    </row>
    <row r="174" spans="1:18">
      <c r="A174" s="1167"/>
      <c r="B174" s="1167"/>
      <c r="C174" s="1167"/>
      <c r="D174" s="1167"/>
      <c r="E174" s="1167"/>
      <c r="F174" s="1167"/>
      <c r="G174" s="1167"/>
      <c r="H174" s="1167"/>
      <c r="I174" s="1167"/>
      <c r="J174" s="1167"/>
      <c r="K174" s="1167"/>
      <c r="L174" s="1167"/>
      <c r="M174" s="1167"/>
      <c r="N174" s="1167"/>
      <c r="O174" s="1167"/>
      <c r="P174" s="1167"/>
      <c r="Q174" s="1167"/>
      <c r="R174" s="1167"/>
    </row>
    <row r="175" spans="1:18">
      <c r="A175" s="1167"/>
      <c r="B175" s="1167"/>
      <c r="C175" s="1167"/>
      <c r="D175" s="1167"/>
      <c r="E175" s="1167"/>
      <c r="F175" s="1167"/>
      <c r="G175" s="1167"/>
      <c r="H175" s="1167"/>
      <c r="I175" s="1167"/>
      <c r="J175" s="1167"/>
      <c r="K175" s="1167"/>
      <c r="L175" s="1167"/>
      <c r="M175" s="1167"/>
      <c r="N175" s="1167"/>
      <c r="O175" s="1167"/>
      <c r="P175" s="1167"/>
      <c r="Q175" s="1167"/>
      <c r="R175" s="1167"/>
    </row>
    <row r="176" spans="1:18">
      <c r="A176" s="1167"/>
      <c r="B176" s="1167"/>
      <c r="C176" s="1167"/>
      <c r="D176" s="1167"/>
      <c r="E176" s="1167"/>
      <c r="F176" s="1167"/>
      <c r="G176" s="1167"/>
      <c r="H176" s="1167"/>
      <c r="I176" s="1167"/>
      <c r="J176" s="1167"/>
      <c r="K176" s="1167"/>
      <c r="L176" s="1167"/>
      <c r="M176" s="1167"/>
      <c r="N176" s="1167"/>
      <c r="O176" s="1167"/>
      <c r="P176" s="1167"/>
      <c r="Q176" s="1167"/>
      <c r="R176" s="1167"/>
    </row>
    <row r="177" spans="1:18">
      <c r="A177" s="1167"/>
      <c r="B177" s="1167"/>
      <c r="C177" s="1167"/>
      <c r="D177" s="1167"/>
      <c r="E177" s="1167"/>
      <c r="F177" s="1167"/>
      <c r="G177" s="1167"/>
      <c r="H177" s="1167"/>
      <c r="I177" s="1167"/>
      <c r="J177" s="1167"/>
      <c r="K177" s="1167"/>
      <c r="L177" s="1167"/>
      <c r="M177" s="1167"/>
      <c r="N177" s="1167"/>
      <c r="O177" s="1167"/>
      <c r="P177" s="1167"/>
      <c r="Q177" s="1167"/>
      <c r="R177" s="1167"/>
    </row>
    <row r="178" spans="1:18">
      <c r="A178" s="1167"/>
      <c r="B178" s="1167"/>
      <c r="C178" s="1167"/>
      <c r="D178" s="1167"/>
      <c r="E178" s="1167"/>
      <c r="F178" s="1167"/>
      <c r="G178" s="1167"/>
      <c r="H178" s="1167"/>
      <c r="I178" s="1167"/>
      <c r="J178" s="1167"/>
      <c r="K178" s="1167"/>
      <c r="L178" s="1167"/>
      <c r="M178" s="1167"/>
      <c r="N178" s="1167"/>
      <c r="O178" s="1167"/>
      <c r="P178" s="1167"/>
      <c r="Q178" s="1167"/>
      <c r="R178" s="1167"/>
    </row>
    <row r="179" spans="1:18">
      <c r="A179" s="1167"/>
      <c r="B179" s="1167"/>
      <c r="C179" s="1167"/>
      <c r="D179" s="1167"/>
      <c r="E179" s="1167"/>
      <c r="F179" s="1167"/>
      <c r="G179" s="1167"/>
      <c r="H179" s="1167"/>
      <c r="I179" s="1167"/>
      <c r="J179" s="1167"/>
      <c r="K179" s="1167"/>
      <c r="L179" s="1167"/>
      <c r="M179" s="1167"/>
      <c r="N179" s="1167"/>
      <c r="O179" s="1167"/>
      <c r="P179" s="1167"/>
      <c r="Q179" s="1167"/>
      <c r="R179" s="1167"/>
    </row>
    <row r="180" spans="1:18">
      <c r="A180" s="1167"/>
      <c r="B180" s="1167"/>
      <c r="C180" s="1167"/>
      <c r="D180" s="1167"/>
      <c r="E180" s="1167"/>
      <c r="F180" s="1167"/>
      <c r="G180" s="1167"/>
      <c r="H180" s="1167"/>
      <c r="I180" s="1167"/>
      <c r="J180" s="1167"/>
      <c r="K180" s="1167"/>
      <c r="L180" s="1167"/>
      <c r="M180" s="1167"/>
      <c r="N180" s="1167"/>
      <c r="O180" s="1167"/>
      <c r="P180" s="1167"/>
      <c r="Q180" s="1167"/>
      <c r="R180" s="1167"/>
    </row>
    <row r="181" spans="1:18">
      <c r="A181" s="1167"/>
      <c r="B181" s="1167"/>
      <c r="C181" s="1167"/>
      <c r="D181" s="1167"/>
      <c r="E181" s="1167"/>
      <c r="F181" s="1167"/>
      <c r="G181" s="1167"/>
      <c r="H181" s="1167"/>
      <c r="I181" s="1167"/>
      <c r="J181" s="1167"/>
      <c r="K181" s="1167"/>
      <c r="L181" s="1167"/>
      <c r="M181" s="1167"/>
      <c r="N181" s="1167"/>
      <c r="O181" s="1167"/>
      <c r="P181" s="1167"/>
      <c r="Q181" s="1167"/>
      <c r="R181" s="1167"/>
    </row>
    <row r="182" spans="1:18">
      <c r="A182" s="1167"/>
      <c r="B182" s="1167"/>
      <c r="C182" s="1167"/>
      <c r="D182" s="1167"/>
      <c r="E182" s="1167"/>
      <c r="F182" s="1167"/>
      <c r="G182" s="1167"/>
      <c r="H182" s="1167"/>
      <c r="I182" s="1167"/>
      <c r="J182" s="1167"/>
      <c r="K182" s="1167"/>
      <c r="L182" s="1167"/>
      <c r="M182" s="1167"/>
      <c r="N182" s="1167"/>
      <c r="O182" s="1167"/>
      <c r="P182" s="1167"/>
      <c r="Q182" s="1167"/>
      <c r="R182" s="1167"/>
    </row>
    <row r="183" spans="1:18">
      <c r="A183" s="1167"/>
      <c r="B183" s="1167"/>
      <c r="C183" s="1167"/>
      <c r="D183" s="1167"/>
      <c r="E183" s="1167"/>
      <c r="F183" s="1167"/>
      <c r="G183" s="1167"/>
      <c r="H183" s="1167"/>
      <c r="I183" s="1167"/>
      <c r="J183" s="1167"/>
      <c r="K183" s="1167"/>
      <c r="L183" s="1167"/>
      <c r="M183" s="1167"/>
      <c r="N183" s="1167"/>
      <c r="O183" s="1167"/>
      <c r="P183" s="1167"/>
      <c r="Q183" s="1167"/>
      <c r="R183" s="1167"/>
    </row>
    <row r="184" spans="1:18">
      <c r="A184" s="1167"/>
      <c r="B184" s="1167"/>
      <c r="C184" s="1167"/>
      <c r="D184" s="1167"/>
      <c r="E184" s="1167"/>
      <c r="F184" s="1167"/>
      <c r="G184" s="1167"/>
      <c r="H184" s="1167"/>
      <c r="I184" s="1167"/>
      <c r="J184" s="1167"/>
      <c r="K184" s="1167"/>
      <c r="L184" s="1167"/>
      <c r="M184" s="1167"/>
      <c r="N184" s="1167"/>
      <c r="O184" s="1167"/>
      <c r="P184" s="1167"/>
      <c r="Q184" s="1167"/>
      <c r="R184" s="1167"/>
    </row>
    <row r="185" spans="1:18">
      <c r="A185" s="1167"/>
      <c r="B185" s="1167"/>
      <c r="C185" s="1167"/>
      <c r="D185" s="1167"/>
      <c r="E185" s="1167"/>
      <c r="F185" s="1167"/>
      <c r="G185" s="1167"/>
      <c r="H185" s="1167"/>
      <c r="I185" s="1167"/>
      <c r="J185" s="1167"/>
      <c r="K185" s="1167"/>
      <c r="L185" s="1167"/>
      <c r="M185" s="1167"/>
      <c r="N185" s="1167"/>
      <c r="O185" s="1167"/>
      <c r="P185" s="1167"/>
      <c r="Q185" s="1167"/>
      <c r="R185" s="1167"/>
    </row>
    <row r="186" spans="1:18">
      <c r="A186" s="1167"/>
      <c r="B186" s="1167"/>
      <c r="C186" s="1167"/>
      <c r="D186" s="1167"/>
      <c r="E186" s="1167"/>
      <c r="F186" s="1167"/>
      <c r="G186" s="1167"/>
      <c r="H186" s="1167"/>
      <c r="I186" s="1167"/>
      <c r="J186" s="1167"/>
      <c r="K186" s="1167"/>
      <c r="L186" s="1167"/>
      <c r="M186" s="1167"/>
      <c r="N186" s="1167"/>
      <c r="O186" s="1167"/>
      <c r="P186" s="1167"/>
      <c r="Q186" s="1167"/>
      <c r="R186" s="1167"/>
    </row>
    <row r="187" spans="1:18">
      <c r="A187" s="1167"/>
      <c r="B187" s="1167"/>
      <c r="C187" s="1167"/>
      <c r="D187" s="1167"/>
      <c r="E187" s="1167"/>
      <c r="F187" s="1167"/>
      <c r="G187" s="1167"/>
      <c r="H187" s="1167"/>
      <c r="I187" s="1167"/>
      <c r="J187" s="1167"/>
      <c r="K187" s="1167"/>
      <c r="L187" s="1167"/>
      <c r="M187" s="1167"/>
      <c r="N187" s="1167"/>
      <c r="O187" s="1167"/>
      <c r="P187" s="1167"/>
      <c r="Q187" s="1167"/>
      <c r="R187" s="1167"/>
    </row>
    <row r="188" spans="1:18">
      <c r="A188" s="1167"/>
      <c r="B188" s="1167"/>
      <c r="C188" s="1167"/>
      <c r="D188" s="1167"/>
      <c r="E188" s="1167"/>
      <c r="F188" s="1167"/>
      <c r="G188" s="1167"/>
      <c r="H188" s="1167"/>
      <c r="I188" s="1167"/>
      <c r="J188" s="1167"/>
      <c r="K188" s="1167"/>
      <c r="L188" s="1167"/>
      <c r="M188" s="1167"/>
      <c r="N188" s="1167"/>
      <c r="O188" s="1167"/>
      <c r="P188" s="1167"/>
      <c r="Q188" s="1167"/>
      <c r="R188" s="1167"/>
    </row>
    <row r="189" spans="1:18">
      <c r="A189" s="1167"/>
      <c r="B189" s="1167"/>
      <c r="C189" s="1167"/>
      <c r="D189" s="1167"/>
      <c r="E189" s="1167"/>
      <c r="F189" s="1167"/>
      <c r="G189" s="1167"/>
      <c r="H189" s="1167"/>
      <c r="I189" s="1167"/>
      <c r="J189" s="1167"/>
      <c r="K189" s="1167"/>
      <c r="L189" s="1167"/>
      <c r="M189" s="1167"/>
      <c r="N189" s="1167"/>
      <c r="O189" s="1167"/>
      <c r="P189" s="1167"/>
      <c r="Q189" s="1167"/>
      <c r="R189" s="1167"/>
    </row>
    <row r="190" spans="1:18">
      <c r="A190" s="1167"/>
      <c r="B190" s="1167"/>
      <c r="C190" s="1167"/>
      <c r="D190" s="1167"/>
      <c r="E190" s="1167"/>
      <c r="F190" s="1167"/>
      <c r="G190" s="1167"/>
      <c r="H190" s="1167"/>
      <c r="I190" s="1167"/>
      <c r="J190" s="1167"/>
      <c r="K190" s="1167"/>
      <c r="L190" s="1167"/>
      <c r="M190" s="1167"/>
      <c r="N190" s="1167"/>
      <c r="O190" s="1167"/>
      <c r="P190" s="1167"/>
      <c r="Q190" s="1167"/>
      <c r="R190" s="1167"/>
    </row>
    <row r="191" spans="1:18">
      <c r="A191" s="1167"/>
      <c r="B191" s="1167"/>
      <c r="C191" s="1167"/>
      <c r="D191" s="1167"/>
      <c r="E191" s="1167"/>
      <c r="F191" s="1167"/>
      <c r="G191" s="1167"/>
      <c r="H191" s="1167"/>
      <c r="I191" s="1167"/>
      <c r="J191" s="1167"/>
      <c r="K191" s="1167"/>
      <c r="L191" s="1167"/>
      <c r="M191" s="1167"/>
      <c r="N191" s="1167"/>
      <c r="O191" s="1167"/>
      <c r="P191" s="1167"/>
      <c r="Q191" s="1167"/>
      <c r="R191" s="1167"/>
    </row>
    <row r="192" spans="1:18">
      <c r="A192" s="1167"/>
      <c r="B192" s="1167"/>
      <c r="C192" s="1167"/>
      <c r="D192" s="1167"/>
      <c r="E192" s="1167"/>
      <c r="F192" s="1167"/>
      <c r="G192" s="1167"/>
      <c r="H192" s="1167"/>
      <c r="I192" s="1167"/>
      <c r="J192" s="1167"/>
      <c r="K192" s="1167"/>
      <c r="L192" s="1167"/>
      <c r="M192" s="1167"/>
      <c r="N192" s="1167"/>
      <c r="O192" s="1167"/>
      <c r="P192" s="1167"/>
      <c r="Q192" s="1167"/>
      <c r="R192" s="1167"/>
    </row>
    <row r="193" spans="1:18">
      <c r="A193" s="1167"/>
      <c r="B193" s="1167"/>
      <c r="C193" s="1167"/>
      <c r="D193" s="1167"/>
      <c r="E193" s="1167"/>
      <c r="F193" s="1167"/>
      <c r="G193" s="1167"/>
      <c r="H193" s="1167"/>
      <c r="I193" s="1167"/>
      <c r="J193" s="1167"/>
      <c r="K193" s="1167"/>
      <c r="L193" s="1167"/>
      <c r="M193" s="1167"/>
      <c r="N193" s="1167"/>
      <c r="O193" s="1167"/>
      <c r="P193" s="1167"/>
      <c r="Q193" s="1167"/>
      <c r="R193" s="1167"/>
    </row>
    <row r="194" spans="1:18">
      <c r="A194" s="1167"/>
      <c r="B194" s="1167"/>
      <c r="C194" s="1167"/>
      <c r="D194" s="1167"/>
      <c r="E194" s="1167"/>
      <c r="F194" s="1167"/>
      <c r="G194" s="1167"/>
      <c r="H194" s="1167"/>
      <c r="I194" s="1167"/>
      <c r="J194" s="1167"/>
      <c r="K194" s="1167"/>
      <c r="L194" s="1167"/>
      <c r="M194" s="1167"/>
      <c r="N194" s="1167"/>
      <c r="O194" s="1167"/>
      <c r="P194" s="1167"/>
      <c r="Q194" s="1167"/>
      <c r="R194" s="1167"/>
    </row>
    <row r="195" spans="1:18">
      <c r="A195" s="1167"/>
      <c r="B195" s="1167"/>
      <c r="C195" s="1167"/>
      <c r="D195" s="1167"/>
      <c r="E195" s="1167"/>
      <c r="F195" s="1167"/>
      <c r="G195" s="1167"/>
      <c r="H195" s="1167"/>
      <c r="I195" s="1167"/>
      <c r="J195" s="1167"/>
      <c r="K195" s="1167"/>
      <c r="L195" s="1167"/>
      <c r="M195" s="1167"/>
      <c r="N195" s="1167"/>
      <c r="O195" s="1167"/>
      <c r="P195" s="1167"/>
      <c r="Q195" s="1167"/>
      <c r="R195" s="1167"/>
    </row>
    <row r="196" spans="1:18">
      <c r="A196" s="1167"/>
      <c r="B196" s="1167"/>
      <c r="C196" s="1167"/>
      <c r="D196" s="1167"/>
      <c r="E196" s="1167"/>
      <c r="F196" s="1167"/>
      <c r="G196" s="1167"/>
      <c r="H196" s="1167"/>
      <c r="I196" s="1167"/>
      <c r="J196" s="1167"/>
      <c r="K196" s="1167"/>
      <c r="L196" s="1167"/>
      <c r="M196" s="1167"/>
      <c r="N196" s="1167"/>
      <c r="O196" s="1167"/>
      <c r="P196" s="1167"/>
      <c r="Q196" s="1167"/>
      <c r="R196" s="1167"/>
    </row>
    <row r="197" spans="1:18">
      <c r="A197" s="1167"/>
      <c r="B197" s="1167"/>
      <c r="C197" s="1167"/>
      <c r="D197" s="1167"/>
      <c r="E197" s="1167"/>
      <c r="F197" s="1167"/>
      <c r="G197" s="1167"/>
      <c r="H197" s="1167"/>
      <c r="I197" s="1167"/>
      <c r="J197" s="1167"/>
      <c r="K197" s="1167"/>
      <c r="L197" s="1167"/>
      <c r="M197" s="1167"/>
      <c r="N197" s="1167"/>
      <c r="O197" s="1167"/>
      <c r="P197" s="1167"/>
      <c r="Q197" s="1167"/>
      <c r="R197" s="1167"/>
    </row>
    <row r="198" spans="1:18">
      <c r="A198" s="1167"/>
      <c r="B198" s="1167"/>
      <c r="C198" s="1167"/>
      <c r="D198" s="1167"/>
      <c r="E198" s="1167"/>
      <c r="F198" s="1167"/>
      <c r="G198" s="1167"/>
      <c r="H198" s="1167"/>
      <c r="I198" s="1167"/>
      <c r="J198" s="1167"/>
      <c r="K198" s="1167"/>
      <c r="L198" s="1167"/>
      <c r="M198" s="1167"/>
      <c r="N198" s="1167"/>
      <c r="O198" s="1167"/>
      <c r="P198" s="1167"/>
      <c r="Q198" s="1167"/>
      <c r="R198" s="1167"/>
    </row>
    <row r="199" spans="1:18">
      <c r="A199" s="1167"/>
      <c r="B199" s="1167"/>
      <c r="C199" s="1167"/>
      <c r="D199" s="1167"/>
      <c r="E199" s="1167"/>
      <c r="F199" s="1167"/>
      <c r="G199" s="1167"/>
      <c r="H199" s="1167"/>
      <c r="I199" s="1167"/>
      <c r="J199" s="1167"/>
      <c r="K199" s="1167"/>
      <c r="L199" s="1167"/>
      <c r="M199" s="1167"/>
      <c r="N199" s="1167"/>
      <c r="O199" s="1167"/>
      <c r="P199" s="1167"/>
      <c r="Q199" s="1167"/>
      <c r="R199" s="1167"/>
    </row>
    <row r="200" spans="1:18">
      <c r="A200" s="1167"/>
      <c r="B200" s="1167"/>
      <c r="C200" s="1167"/>
      <c r="D200" s="1167"/>
      <c r="E200" s="1167"/>
      <c r="F200" s="1167"/>
      <c r="G200" s="1167"/>
      <c r="H200" s="1167"/>
      <c r="I200" s="1167"/>
      <c r="J200" s="1167"/>
      <c r="K200" s="1167"/>
      <c r="L200" s="1167"/>
      <c r="M200" s="1167"/>
      <c r="N200" s="1167"/>
      <c r="O200" s="1167"/>
      <c r="P200" s="1167"/>
      <c r="Q200" s="1167"/>
      <c r="R200" s="1167"/>
    </row>
    <row r="201" spans="1:18">
      <c r="A201" s="1167"/>
      <c r="B201" s="1167"/>
      <c r="C201" s="1167"/>
      <c r="D201" s="1167"/>
      <c r="E201" s="1167"/>
      <c r="F201" s="1167"/>
      <c r="G201" s="1167"/>
      <c r="H201" s="1167"/>
      <c r="I201" s="1167"/>
      <c r="J201" s="1167"/>
      <c r="K201" s="1167"/>
      <c r="L201" s="1167"/>
      <c r="M201" s="1167"/>
      <c r="N201" s="1167"/>
      <c r="O201" s="1167"/>
      <c r="P201" s="1167"/>
      <c r="Q201" s="1167"/>
      <c r="R201" s="1167"/>
    </row>
    <row r="202" spans="1:18">
      <c r="A202" s="1167"/>
      <c r="B202" s="1167"/>
      <c r="C202" s="1167"/>
      <c r="D202" s="1167"/>
      <c r="E202" s="1167"/>
      <c r="F202" s="1167"/>
      <c r="G202" s="1167"/>
      <c r="H202" s="1167"/>
      <c r="I202" s="1167"/>
      <c r="J202" s="1167"/>
      <c r="K202" s="1167"/>
      <c r="L202" s="1167"/>
      <c r="M202" s="1167"/>
      <c r="N202" s="1167"/>
      <c r="O202" s="1167"/>
      <c r="P202" s="1167"/>
      <c r="Q202" s="1167"/>
      <c r="R202" s="1167"/>
    </row>
    <row r="203" spans="1:18">
      <c r="A203" s="1167"/>
      <c r="B203" s="1167"/>
      <c r="C203" s="1167"/>
      <c r="D203" s="1167"/>
      <c r="E203" s="1167"/>
      <c r="F203" s="1167"/>
      <c r="G203" s="1167"/>
      <c r="H203" s="1167"/>
      <c r="I203" s="1167"/>
      <c r="J203" s="1167"/>
      <c r="K203" s="1167"/>
      <c r="L203" s="1167"/>
      <c r="M203" s="1167"/>
      <c r="N203" s="1167"/>
      <c r="O203" s="1167"/>
      <c r="P203" s="1167"/>
      <c r="Q203" s="1167"/>
      <c r="R203" s="1167"/>
    </row>
    <row r="204" spans="1:18">
      <c r="A204" s="1167"/>
      <c r="B204" s="1167"/>
      <c r="C204" s="1167"/>
      <c r="D204" s="1167"/>
      <c r="E204" s="1167"/>
      <c r="F204" s="1167"/>
      <c r="G204" s="1167"/>
      <c r="H204" s="1167"/>
      <c r="I204" s="1167"/>
      <c r="J204" s="1167"/>
      <c r="K204" s="1167"/>
      <c r="L204" s="1167"/>
      <c r="M204" s="1167"/>
      <c r="N204" s="1167"/>
      <c r="O204" s="1167"/>
      <c r="P204" s="1167"/>
      <c r="Q204" s="1167"/>
      <c r="R204" s="1167"/>
    </row>
    <row r="205" spans="1:18">
      <c r="A205" s="1167"/>
      <c r="B205" s="1167"/>
      <c r="C205" s="1167"/>
      <c r="D205" s="1167"/>
      <c r="E205" s="1167"/>
      <c r="F205" s="1167"/>
      <c r="G205" s="1167"/>
      <c r="H205" s="1167"/>
      <c r="I205" s="1167"/>
      <c r="J205" s="1167"/>
      <c r="K205" s="1167"/>
      <c r="L205" s="1167"/>
      <c r="M205" s="1167"/>
      <c r="N205" s="1167"/>
      <c r="O205" s="1167"/>
      <c r="P205" s="1167"/>
      <c r="Q205" s="1167"/>
      <c r="R205" s="1167"/>
    </row>
    <row r="206" spans="1:18">
      <c r="A206" s="1167"/>
      <c r="B206" s="1167"/>
      <c r="C206" s="1167"/>
      <c r="D206" s="1167"/>
      <c r="E206" s="1167"/>
      <c r="F206" s="1167"/>
      <c r="G206" s="1167"/>
      <c r="H206" s="1167"/>
      <c r="I206" s="1167"/>
      <c r="J206" s="1167"/>
      <c r="K206" s="1167"/>
      <c r="L206" s="1167"/>
      <c r="M206" s="1167"/>
      <c r="N206" s="1167"/>
      <c r="O206" s="1167"/>
      <c r="P206" s="1167"/>
      <c r="Q206" s="1167"/>
      <c r="R206" s="1167"/>
    </row>
    <row r="207" spans="1:18">
      <c r="A207" s="1167"/>
      <c r="B207" s="1167"/>
      <c r="C207" s="1167"/>
      <c r="D207" s="1167"/>
      <c r="E207" s="1167"/>
      <c r="F207" s="1167"/>
      <c r="G207" s="1167"/>
      <c r="H207" s="1167"/>
      <c r="I207" s="1167"/>
      <c r="J207" s="1167"/>
      <c r="K207" s="1167"/>
      <c r="L207" s="1167"/>
      <c r="M207" s="1167"/>
      <c r="N207" s="1167"/>
      <c r="O207" s="1167"/>
      <c r="P207" s="1167"/>
      <c r="Q207" s="1167"/>
      <c r="R207" s="1167"/>
    </row>
    <row r="208" spans="1:18">
      <c r="A208" s="1167"/>
      <c r="B208" s="1167"/>
      <c r="C208" s="1167"/>
      <c r="D208" s="1167"/>
      <c r="E208" s="1167"/>
      <c r="F208" s="1167"/>
      <c r="G208" s="1167"/>
      <c r="H208" s="1167"/>
      <c r="I208" s="1167"/>
      <c r="J208" s="1167"/>
      <c r="K208" s="1167"/>
      <c r="L208" s="1167"/>
      <c r="M208" s="1167"/>
      <c r="N208" s="1167"/>
      <c r="O208" s="1167"/>
      <c r="P208" s="1167"/>
      <c r="Q208" s="1167"/>
      <c r="R208" s="1167"/>
    </row>
    <row r="209" spans="1:18">
      <c r="A209" s="1167"/>
      <c r="B209" s="1167"/>
      <c r="C209" s="1167"/>
      <c r="D209" s="1167"/>
      <c r="E209" s="1167"/>
      <c r="F209" s="1167"/>
      <c r="G209" s="1167"/>
      <c r="H209" s="1167"/>
      <c r="I209" s="1167"/>
      <c r="J209" s="1167"/>
      <c r="K209" s="1167"/>
      <c r="L209" s="1167"/>
      <c r="M209" s="1167"/>
      <c r="N209" s="1167"/>
      <c r="O209" s="1167"/>
      <c r="P209" s="1167"/>
      <c r="Q209" s="1167"/>
      <c r="R209" s="1167"/>
    </row>
    <row r="210" spans="1:18">
      <c r="A210" s="1167"/>
      <c r="B210" s="1167"/>
      <c r="C210" s="1167"/>
      <c r="D210" s="1167"/>
      <c r="E210" s="1167"/>
      <c r="F210" s="1167"/>
      <c r="G210" s="1167"/>
      <c r="H210" s="1167"/>
      <c r="I210" s="1167"/>
      <c r="J210" s="1167"/>
      <c r="K210" s="1167"/>
      <c r="L210" s="1167"/>
      <c r="M210" s="1167"/>
      <c r="N210" s="1167"/>
      <c r="O210" s="1167"/>
      <c r="P210" s="1167"/>
      <c r="Q210" s="1167"/>
      <c r="R210" s="1167"/>
    </row>
    <row r="211" spans="1:18">
      <c r="A211" s="1167"/>
      <c r="B211" s="1167"/>
      <c r="C211" s="1167"/>
      <c r="D211" s="1167"/>
      <c r="E211" s="1167"/>
      <c r="F211" s="1167"/>
      <c r="G211" s="1167"/>
      <c r="H211" s="1167"/>
      <c r="I211" s="1167"/>
      <c r="J211" s="1167"/>
      <c r="K211" s="1167"/>
      <c r="L211" s="1167"/>
      <c r="M211" s="1167"/>
      <c r="N211" s="1167"/>
      <c r="O211" s="1167"/>
      <c r="P211" s="1167"/>
      <c r="Q211" s="1167"/>
      <c r="R211" s="1167"/>
    </row>
    <row r="212" spans="1:18">
      <c r="A212" s="1167"/>
      <c r="B212" s="1167"/>
      <c r="C212" s="1167"/>
      <c r="D212" s="1167"/>
      <c r="E212" s="1167"/>
      <c r="F212" s="1167"/>
      <c r="G212" s="1167"/>
      <c r="H212" s="1167"/>
      <c r="I212" s="1167"/>
      <c r="J212" s="1167"/>
      <c r="K212" s="1167"/>
      <c r="L212" s="1167"/>
      <c r="M212" s="1167"/>
      <c r="N212" s="1167"/>
      <c r="O212" s="1167"/>
      <c r="P212" s="1167"/>
      <c r="Q212" s="1167"/>
      <c r="R212" s="1167"/>
    </row>
    <row r="213" spans="1:18">
      <c r="A213" s="1167"/>
      <c r="B213" s="1167"/>
      <c r="C213" s="1167"/>
      <c r="D213" s="1167"/>
      <c r="E213" s="1167"/>
      <c r="F213" s="1167"/>
      <c r="G213" s="1167"/>
      <c r="H213" s="1167"/>
      <c r="I213" s="1167"/>
      <c r="J213" s="1167"/>
      <c r="K213" s="1167"/>
      <c r="L213" s="1167"/>
      <c r="M213" s="1167"/>
      <c r="N213" s="1167"/>
      <c r="O213" s="1167"/>
      <c r="P213" s="1167"/>
      <c r="Q213" s="1167"/>
      <c r="R213" s="1167"/>
    </row>
    <row r="214" spans="1:18">
      <c r="A214" s="1167"/>
      <c r="B214" s="1167"/>
      <c r="C214" s="1167"/>
      <c r="D214" s="1167"/>
      <c r="E214" s="1167"/>
      <c r="F214" s="1167"/>
      <c r="G214" s="1167"/>
      <c r="H214" s="1167"/>
      <c r="I214" s="1167"/>
      <c r="J214" s="1167"/>
      <c r="K214" s="1167"/>
      <c r="L214" s="1167"/>
      <c r="M214" s="1167"/>
      <c r="N214" s="1167"/>
      <c r="O214" s="1167"/>
      <c r="P214" s="1167"/>
      <c r="Q214" s="1167"/>
      <c r="R214" s="1167"/>
    </row>
    <row r="215" spans="1:18">
      <c r="A215" s="1167"/>
      <c r="B215" s="1167"/>
      <c r="C215" s="1167"/>
      <c r="D215" s="1167"/>
      <c r="E215" s="1167"/>
      <c r="F215" s="1167"/>
      <c r="G215" s="1167"/>
      <c r="H215" s="1167"/>
      <c r="I215" s="1167"/>
      <c r="J215" s="1167"/>
      <c r="K215" s="1167"/>
      <c r="L215" s="1167"/>
      <c r="M215" s="1167"/>
      <c r="N215" s="1167"/>
      <c r="O215" s="1167"/>
      <c r="P215" s="1167"/>
      <c r="Q215" s="1167"/>
      <c r="R215" s="1167"/>
    </row>
    <row r="216" spans="1:18">
      <c r="A216" s="1167"/>
      <c r="B216" s="1167"/>
      <c r="C216" s="1167"/>
      <c r="D216" s="1167"/>
      <c r="E216" s="1167"/>
      <c r="F216" s="1167"/>
      <c r="G216" s="1167"/>
      <c r="H216" s="1167"/>
      <c r="I216" s="1167"/>
      <c r="J216" s="1167"/>
      <c r="K216" s="1167"/>
      <c r="L216" s="1167"/>
      <c r="M216" s="1167"/>
      <c r="N216" s="1167"/>
      <c r="O216" s="1167"/>
      <c r="P216" s="1167"/>
      <c r="Q216" s="1167"/>
      <c r="R216" s="1167"/>
    </row>
    <row r="217" spans="1:18">
      <c r="A217" s="1167"/>
      <c r="B217" s="1167"/>
      <c r="C217" s="1167"/>
      <c r="D217" s="1167"/>
      <c r="E217" s="1167"/>
      <c r="F217" s="1167"/>
      <c r="G217" s="1167"/>
      <c r="H217" s="1167"/>
      <c r="I217" s="1167"/>
      <c r="J217" s="1167"/>
      <c r="K217" s="1167"/>
      <c r="L217" s="1167"/>
      <c r="M217" s="1167"/>
      <c r="N217" s="1167"/>
      <c r="O217" s="1167"/>
      <c r="P217" s="1167"/>
      <c r="Q217" s="1167"/>
      <c r="R217" s="1167"/>
    </row>
    <row r="218" spans="1:18">
      <c r="A218" s="1167"/>
      <c r="B218" s="1167"/>
      <c r="C218" s="1167"/>
      <c r="D218" s="1167"/>
      <c r="E218" s="1167"/>
      <c r="F218" s="1167"/>
      <c r="G218" s="1167"/>
      <c r="H218" s="1167"/>
      <c r="I218" s="1167"/>
      <c r="J218" s="1167"/>
      <c r="K218" s="1167"/>
      <c r="L218" s="1167"/>
      <c r="M218" s="1167"/>
      <c r="N218" s="1167"/>
      <c r="O218" s="1167"/>
      <c r="P218" s="1167"/>
      <c r="Q218" s="1167"/>
      <c r="R218" s="1167"/>
    </row>
    <row r="219" spans="1:18">
      <c r="A219" s="1167"/>
      <c r="B219" s="1167"/>
      <c r="C219" s="1167"/>
      <c r="D219" s="1167"/>
      <c r="E219" s="1167"/>
      <c r="F219" s="1167"/>
      <c r="G219" s="1167"/>
      <c r="H219" s="1167"/>
      <c r="I219" s="1167"/>
      <c r="J219" s="1167"/>
      <c r="K219" s="1167"/>
      <c r="L219" s="1167"/>
      <c r="M219" s="1167"/>
      <c r="N219" s="1167"/>
      <c r="O219" s="1167"/>
      <c r="P219" s="1167"/>
      <c r="Q219" s="1167"/>
      <c r="R219" s="1167"/>
    </row>
    <row r="220" spans="1:18">
      <c r="A220" s="1167"/>
      <c r="B220" s="1167"/>
      <c r="C220" s="1167"/>
      <c r="D220" s="1167"/>
      <c r="E220" s="1167"/>
      <c r="F220" s="1167"/>
      <c r="G220" s="1167"/>
      <c r="H220" s="1167"/>
      <c r="I220" s="1167"/>
      <c r="J220" s="1167"/>
      <c r="K220" s="1167"/>
      <c r="L220" s="1167"/>
      <c r="M220" s="1167"/>
      <c r="N220" s="1167"/>
      <c r="O220" s="1167"/>
      <c r="P220" s="1167"/>
      <c r="Q220" s="1167"/>
      <c r="R220" s="1167"/>
    </row>
    <row r="221" spans="1:18">
      <c r="A221" s="1167"/>
      <c r="B221" s="1167"/>
      <c r="C221" s="1167"/>
      <c r="D221" s="1167"/>
      <c r="E221" s="1167"/>
      <c r="F221" s="1167"/>
      <c r="G221" s="1167"/>
      <c r="H221" s="1167"/>
      <c r="I221" s="1167"/>
      <c r="J221" s="1167"/>
      <c r="K221" s="1167"/>
      <c r="L221" s="1167"/>
      <c r="M221" s="1167"/>
      <c r="N221" s="1167"/>
      <c r="O221" s="1167"/>
      <c r="P221" s="1167"/>
      <c r="Q221" s="1167"/>
      <c r="R221" s="1167"/>
    </row>
    <row r="222" spans="1:18">
      <c r="A222" s="1167"/>
      <c r="B222" s="1167"/>
      <c r="C222" s="1167"/>
      <c r="D222" s="1167"/>
      <c r="E222" s="1167"/>
      <c r="F222" s="1167"/>
      <c r="G222" s="1167"/>
      <c r="H222" s="1167"/>
      <c r="I222" s="1167"/>
      <c r="J222" s="1167"/>
      <c r="K222" s="1167"/>
      <c r="L222" s="1167"/>
      <c r="M222" s="1167"/>
      <c r="N222" s="1167"/>
      <c r="O222" s="1167"/>
      <c r="P222" s="1167"/>
      <c r="Q222" s="1167"/>
      <c r="R222" s="1167"/>
    </row>
    <row r="223" spans="1:18">
      <c r="A223" s="1167"/>
      <c r="B223" s="1167"/>
      <c r="C223" s="1167"/>
      <c r="D223" s="1167"/>
      <c r="E223" s="1167"/>
      <c r="F223" s="1167"/>
      <c r="G223" s="1167"/>
      <c r="H223" s="1167"/>
      <c r="I223" s="1167"/>
      <c r="J223" s="1167"/>
      <c r="K223" s="1167"/>
      <c r="L223" s="1167"/>
      <c r="M223" s="1167"/>
      <c r="N223" s="1167"/>
      <c r="O223" s="1167"/>
      <c r="P223" s="1167"/>
      <c r="Q223" s="1167"/>
      <c r="R223" s="1167"/>
    </row>
    <row r="224" spans="1:18">
      <c r="A224" s="1167"/>
      <c r="B224" s="1167"/>
      <c r="C224" s="1167"/>
      <c r="D224" s="1167"/>
      <c r="E224" s="1167"/>
      <c r="F224" s="1167"/>
      <c r="G224" s="1167"/>
      <c r="H224" s="1167"/>
      <c r="I224" s="1167"/>
      <c r="J224" s="1167"/>
      <c r="K224" s="1167"/>
      <c r="L224" s="1167"/>
      <c r="M224" s="1167"/>
      <c r="N224" s="1167"/>
      <c r="O224" s="1167"/>
      <c r="P224" s="1167"/>
      <c r="Q224" s="1167"/>
      <c r="R224" s="1167"/>
    </row>
    <row r="225" spans="1:18">
      <c r="A225" s="1167"/>
      <c r="B225" s="1167"/>
      <c r="C225" s="1167"/>
      <c r="D225" s="1167"/>
      <c r="E225" s="1167"/>
      <c r="F225" s="1167"/>
      <c r="G225" s="1167"/>
      <c r="H225" s="1167"/>
      <c r="I225" s="1167"/>
      <c r="J225" s="1167"/>
      <c r="K225" s="1167"/>
      <c r="L225" s="1167"/>
      <c r="M225" s="1167"/>
      <c r="N225" s="1167"/>
      <c r="O225" s="1167"/>
      <c r="P225" s="1167"/>
      <c r="Q225" s="1167"/>
      <c r="R225" s="1167"/>
    </row>
    <row r="226" spans="1:18">
      <c r="A226" s="1167"/>
      <c r="B226" s="1167"/>
      <c r="C226" s="1167"/>
      <c r="D226" s="1167"/>
      <c r="E226" s="1167"/>
      <c r="F226" s="1167"/>
      <c r="G226" s="1167"/>
      <c r="H226" s="1167"/>
      <c r="I226" s="1167"/>
      <c r="J226" s="1167"/>
      <c r="K226" s="1167"/>
      <c r="L226" s="1167"/>
      <c r="M226" s="1167"/>
      <c r="N226" s="1167"/>
      <c r="O226" s="1167"/>
      <c r="P226" s="1167"/>
      <c r="Q226" s="1167"/>
      <c r="R226" s="1167"/>
    </row>
    <row r="227" spans="1:18">
      <c r="A227" s="1167"/>
      <c r="B227" s="1167"/>
      <c r="C227" s="1167"/>
      <c r="D227" s="1167"/>
      <c r="E227" s="1167"/>
      <c r="F227" s="1167"/>
      <c r="G227" s="1167"/>
      <c r="H227" s="1167"/>
      <c r="I227" s="1167"/>
      <c r="J227" s="1167"/>
      <c r="K227" s="1167"/>
      <c r="L227" s="1167"/>
      <c r="M227" s="1167"/>
      <c r="N227" s="1167"/>
      <c r="O227" s="1167"/>
      <c r="P227" s="1167"/>
      <c r="Q227" s="1167"/>
      <c r="R227" s="1167"/>
    </row>
    <row r="228" spans="1:18">
      <c r="A228" s="1167"/>
      <c r="B228" s="1167"/>
      <c r="C228" s="1167"/>
      <c r="D228" s="1167"/>
      <c r="E228" s="1167"/>
      <c r="F228" s="1167"/>
      <c r="G228" s="1167"/>
      <c r="H228" s="1167"/>
      <c r="I228" s="1167"/>
      <c r="J228" s="1167"/>
      <c r="K228" s="1167"/>
      <c r="L228" s="1167"/>
      <c r="M228" s="1167"/>
      <c r="N228" s="1167"/>
      <c r="O228" s="1167"/>
      <c r="P228" s="1167"/>
      <c r="Q228" s="1167"/>
      <c r="R228" s="1167"/>
    </row>
    <row r="229" spans="1:18">
      <c r="A229" s="1167"/>
      <c r="B229" s="1167"/>
      <c r="C229" s="1167"/>
      <c r="D229" s="1167"/>
      <c r="E229" s="1167"/>
      <c r="F229" s="1167"/>
      <c r="G229" s="1167"/>
      <c r="H229" s="1167"/>
      <c r="I229" s="1167"/>
      <c r="J229" s="1167"/>
      <c r="K229" s="1167"/>
      <c r="L229" s="1167"/>
      <c r="M229" s="1167"/>
      <c r="N229" s="1167"/>
      <c r="O229" s="1167"/>
      <c r="P229" s="1167"/>
      <c r="Q229" s="1167"/>
      <c r="R229" s="1167"/>
    </row>
    <row r="230" spans="1:18">
      <c r="A230" s="1167"/>
      <c r="B230" s="1167"/>
      <c r="C230" s="1167"/>
      <c r="D230" s="1167"/>
      <c r="E230" s="1167"/>
      <c r="F230" s="1167"/>
      <c r="G230" s="1167"/>
      <c r="H230" s="1167"/>
      <c r="I230" s="1167"/>
      <c r="J230" s="1167"/>
      <c r="K230" s="1167"/>
      <c r="L230" s="1167"/>
      <c r="M230" s="1167"/>
      <c r="N230" s="1167"/>
      <c r="O230" s="1167"/>
      <c r="P230" s="1167"/>
      <c r="Q230" s="1167"/>
      <c r="R230" s="1167"/>
    </row>
    <row r="231" spans="1:18">
      <c r="A231" s="1167"/>
      <c r="B231" s="1167"/>
      <c r="C231" s="1167"/>
      <c r="D231" s="1167"/>
      <c r="E231" s="1167"/>
      <c r="F231" s="1167"/>
      <c r="G231" s="1167"/>
      <c r="H231" s="1167"/>
      <c r="I231" s="1167"/>
      <c r="J231" s="1167"/>
      <c r="K231" s="1167"/>
      <c r="L231" s="1167"/>
      <c r="M231" s="1167"/>
      <c r="N231" s="1167"/>
      <c r="O231" s="1167"/>
      <c r="P231" s="1167"/>
      <c r="Q231" s="1167"/>
      <c r="R231" s="1167"/>
    </row>
    <row r="232" spans="1:18">
      <c r="A232" s="1167"/>
      <c r="B232" s="1167"/>
      <c r="C232" s="1167"/>
      <c r="D232" s="1167"/>
      <c r="E232" s="1167"/>
      <c r="F232" s="1167"/>
      <c r="G232" s="1167"/>
      <c r="H232" s="1167"/>
      <c r="I232" s="1167"/>
      <c r="J232" s="1167"/>
      <c r="K232" s="1167"/>
      <c r="L232" s="1167"/>
      <c r="M232" s="1167"/>
      <c r="N232" s="1167"/>
      <c r="O232" s="1167"/>
      <c r="P232" s="1167"/>
      <c r="Q232" s="1167"/>
      <c r="R232" s="1167"/>
    </row>
    <row r="233" spans="1:18">
      <c r="A233" s="1167"/>
      <c r="B233" s="1167"/>
      <c r="C233" s="1167"/>
      <c r="D233" s="1167"/>
      <c r="E233" s="1167"/>
      <c r="F233" s="1167"/>
      <c r="G233" s="1167"/>
      <c r="H233" s="1167"/>
      <c r="I233" s="1167"/>
      <c r="J233" s="1167"/>
      <c r="K233" s="1167"/>
      <c r="L233" s="1167"/>
      <c r="M233" s="1167"/>
      <c r="N233" s="1167"/>
      <c r="O233" s="1167"/>
      <c r="P233" s="1167"/>
      <c r="Q233" s="1167"/>
      <c r="R233" s="1167"/>
    </row>
    <row r="234" spans="1:18">
      <c r="A234" s="1167"/>
      <c r="B234" s="1167"/>
      <c r="C234" s="1167"/>
      <c r="D234" s="1167"/>
      <c r="E234" s="1167"/>
      <c r="F234" s="1167"/>
      <c r="G234" s="1167"/>
      <c r="H234" s="1167"/>
      <c r="I234" s="1167"/>
      <c r="J234" s="1167"/>
      <c r="K234" s="1167"/>
      <c r="L234" s="1167"/>
      <c r="M234" s="1167"/>
      <c r="N234" s="1167"/>
      <c r="O234" s="1167"/>
      <c r="P234" s="1167"/>
      <c r="Q234" s="1167"/>
      <c r="R234" s="1167"/>
    </row>
    <row r="235" spans="1:18">
      <c r="A235" s="1167"/>
      <c r="B235" s="1167"/>
      <c r="C235" s="1167"/>
      <c r="D235" s="1167"/>
      <c r="E235" s="1167"/>
      <c r="F235" s="1167"/>
      <c r="G235" s="1167"/>
      <c r="H235" s="1167"/>
      <c r="I235" s="1167"/>
      <c r="J235" s="1167"/>
      <c r="K235" s="1167"/>
      <c r="L235" s="1167"/>
      <c r="M235" s="1167"/>
      <c r="N235" s="1167"/>
      <c r="O235" s="1167"/>
      <c r="P235" s="1167"/>
      <c r="Q235" s="1167"/>
      <c r="R235" s="1167"/>
    </row>
    <row r="236" spans="1:18">
      <c r="A236" s="1167"/>
      <c r="B236" s="1167"/>
      <c r="C236" s="1167"/>
      <c r="D236" s="1167"/>
      <c r="E236" s="1167"/>
      <c r="F236" s="1167"/>
      <c r="G236" s="1167"/>
      <c r="H236" s="1167"/>
      <c r="I236" s="1167"/>
      <c r="J236" s="1167"/>
      <c r="K236" s="1167"/>
      <c r="L236" s="1167"/>
      <c r="M236" s="1167"/>
      <c r="N236" s="1167"/>
      <c r="O236" s="1167"/>
      <c r="P236" s="1167"/>
      <c r="Q236" s="1167"/>
      <c r="R236" s="1167"/>
    </row>
    <row r="237" spans="1:18">
      <c r="A237" s="1167"/>
      <c r="B237" s="1167"/>
      <c r="C237" s="1167"/>
      <c r="D237" s="1167"/>
      <c r="E237" s="1167"/>
      <c r="F237" s="1167"/>
      <c r="G237" s="1167"/>
      <c r="H237" s="1167"/>
      <c r="I237" s="1167"/>
      <c r="J237" s="1167"/>
      <c r="K237" s="1167"/>
      <c r="L237" s="1167"/>
      <c r="M237" s="1167"/>
      <c r="N237" s="1167"/>
      <c r="O237" s="1167"/>
      <c r="P237" s="1167"/>
      <c r="Q237" s="1167"/>
      <c r="R237" s="1167"/>
    </row>
    <row r="238" spans="1:18">
      <c r="A238" s="1167"/>
      <c r="B238" s="1167"/>
      <c r="C238" s="1167"/>
      <c r="D238" s="1167"/>
      <c r="E238" s="1167"/>
      <c r="F238" s="1167"/>
      <c r="G238" s="1167"/>
      <c r="H238" s="1167"/>
      <c r="I238" s="1167"/>
      <c r="J238" s="1167"/>
      <c r="K238" s="1167"/>
      <c r="L238" s="1167"/>
      <c r="M238" s="1167"/>
      <c r="N238" s="1167"/>
      <c r="O238" s="1167"/>
      <c r="P238" s="1167"/>
      <c r="Q238" s="1167"/>
      <c r="R238" s="1167"/>
    </row>
    <row r="239" spans="1:18">
      <c r="A239" s="1167"/>
      <c r="B239" s="1167"/>
      <c r="C239" s="1167"/>
      <c r="D239" s="1167"/>
      <c r="E239" s="1167"/>
      <c r="F239" s="1167"/>
      <c r="G239" s="1167"/>
      <c r="H239" s="1167"/>
      <c r="I239" s="1167"/>
      <c r="J239" s="1167"/>
      <c r="K239" s="1167"/>
      <c r="L239" s="1167"/>
      <c r="M239" s="1167"/>
      <c r="N239" s="1167"/>
      <c r="O239" s="1167"/>
      <c r="P239" s="1167"/>
      <c r="Q239" s="1167"/>
      <c r="R239" s="1167"/>
    </row>
    <row r="240" spans="1:18">
      <c r="A240" s="1167"/>
      <c r="B240" s="1167"/>
      <c r="C240" s="1167"/>
      <c r="D240" s="1167"/>
      <c r="E240" s="1167"/>
      <c r="F240" s="1167"/>
      <c r="G240" s="1167"/>
      <c r="H240" s="1167"/>
      <c r="I240" s="1167"/>
      <c r="J240" s="1167"/>
      <c r="K240" s="1167"/>
      <c r="L240" s="1167"/>
      <c r="M240" s="1167"/>
      <c r="N240" s="1167"/>
      <c r="O240" s="1167"/>
      <c r="P240" s="1167"/>
      <c r="Q240" s="1167"/>
      <c r="R240" s="1167"/>
    </row>
    <row r="241" spans="1:18">
      <c r="A241" s="1167"/>
      <c r="B241" s="1167"/>
      <c r="C241" s="1167"/>
      <c r="D241" s="1167"/>
      <c r="E241" s="1167"/>
      <c r="F241" s="1167"/>
      <c r="G241" s="1167"/>
      <c r="H241" s="1167"/>
      <c r="I241" s="1167"/>
      <c r="J241" s="1167"/>
      <c r="K241" s="1167"/>
      <c r="L241" s="1167"/>
      <c r="M241" s="1167"/>
      <c r="N241" s="1167"/>
      <c r="O241" s="1167"/>
      <c r="P241" s="1167"/>
      <c r="Q241" s="1167"/>
      <c r="R241" s="1167"/>
    </row>
    <row r="242" spans="1:18">
      <c r="A242" s="1167"/>
      <c r="B242" s="1167"/>
      <c r="C242" s="1167"/>
      <c r="D242" s="1167"/>
      <c r="E242" s="1167"/>
      <c r="F242" s="1167"/>
      <c r="G242" s="1167"/>
      <c r="H242" s="1167"/>
      <c r="I242" s="1167"/>
      <c r="J242" s="1167"/>
      <c r="K242" s="1167"/>
      <c r="L242" s="1167"/>
      <c r="M242" s="1167"/>
      <c r="N242" s="1167"/>
      <c r="O242" s="1167"/>
      <c r="P242" s="1167"/>
      <c r="Q242" s="1167"/>
      <c r="R242" s="1167"/>
    </row>
    <row r="243" spans="1:18">
      <c r="A243" s="1167"/>
      <c r="B243" s="1167"/>
      <c r="C243" s="1167"/>
      <c r="D243" s="1167"/>
      <c r="E243" s="1167"/>
      <c r="F243" s="1167"/>
      <c r="G243" s="1167"/>
      <c r="H243" s="1167"/>
      <c r="I243" s="1167"/>
      <c r="J243" s="1167"/>
      <c r="K243" s="1167"/>
      <c r="L243" s="1167"/>
      <c r="M243" s="1167"/>
      <c r="N243" s="1167"/>
      <c r="O243" s="1167"/>
      <c r="P243" s="1167"/>
      <c r="Q243" s="1167"/>
      <c r="R243" s="1167"/>
    </row>
    <row r="244" spans="1:18">
      <c r="A244" s="1167"/>
      <c r="B244" s="1167"/>
      <c r="C244" s="1167"/>
      <c r="D244" s="1167"/>
      <c r="E244" s="1167"/>
      <c r="F244" s="1167"/>
      <c r="G244" s="1167"/>
      <c r="H244" s="1167"/>
      <c r="I244" s="1167"/>
      <c r="J244" s="1167"/>
      <c r="K244" s="1167"/>
      <c r="L244" s="1167"/>
      <c r="M244" s="1167"/>
      <c r="N244" s="1167"/>
      <c r="O244" s="1167"/>
      <c r="P244" s="1167"/>
      <c r="Q244" s="1167"/>
      <c r="R244" s="1167"/>
    </row>
    <row r="245" spans="1:18">
      <c r="A245" s="1167"/>
      <c r="B245" s="1167"/>
      <c r="C245" s="1167"/>
      <c r="D245" s="1167"/>
      <c r="E245" s="1167"/>
      <c r="F245" s="1167"/>
      <c r="G245" s="1167"/>
      <c r="H245" s="1167"/>
      <c r="I245" s="1167"/>
      <c r="J245" s="1167"/>
      <c r="K245" s="1167"/>
      <c r="L245" s="1167"/>
      <c r="M245" s="1167"/>
      <c r="N245" s="1167"/>
      <c r="O245" s="1167"/>
      <c r="P245" s="1167"/>
      <c r="Q245" s="1167"/>
      <c r="R245" s="1167"/>
    </row>
    <row r="246" spans="1:18">
      <c r="A246" s="1167"/>
      <c r="B246" s="1167"/>
      <c r="C246" s="1167"/>
      <c r="D246" s="1167"/>
      <c r="E246" s="1167"/>
      <c r="F246" s="1167"/>
      <c r="G246" s="1167"/>
      <c r="H246" s="1167"/>
      <c r="I246" s="1167"/>
      <c r="J246" s="1167"/>
      <c r="K246" s="1167"/>
      <c r="L246" s="1167"/>
      <c r="M246" s="1167"/>
      <c r="N246" s="1167"/>
      <c r="O246" s="1167"/>
      <c r="P246" s="1167"/>
      <c r="Q246" s="1167"/>
      <c r="R246" s="1167"/>
    </row>
    <row r="247" spans="1:18">
      <c r="A247" s="1167"/>
      <c r="B247" s="1167"/>
      <c r="C247" s="1167"/>
      <c r="D247" s="1167"/>
      <c r="E247" s="1167"/>
      <c r="F247" s="1167"/>
      <c r="G247" s="1167"/>
      <c r="H247" s="1167"/>
      <c r="I247" s="1167"/>
      <c r="J247" s="1167"/>
      <c r="K247" s="1167"/>
      <c r="L247" s="1167"/>
      <c r="M247" s="1167"/>
      <c r="N247" s="1167"/>
      <c r="O247" s="1167"/>
      <c r="P247" s="1167"/>
      <c r="Q247" s="1167"/>
      <c r="R247" s="1167"/>
    </row>
    <row r="248" spans="1:18">
      <c r="A248" s="1167"/>
      <c r="B248" s="1167"/>
      <c r="C248" s="1167"/>
      <c r="D248" s="1167"/>
      <c r="E248" s="1167"/>
      <c r="F248" s="1167"/>
      <c r="G248" s="1167"/>
      <c r="H248" s="1167"/>
      <c r="I248" s="1167"/>
      <c r="J248" s="1167"/>
      <c r="K248" s="1167"/>
      <c r="L248" s="1167"/>
      <c r="M248" s="1167"/>
      <c r="N248" s="1167"/>
      <c r="O248" s="1167"/>
      <c r="P248" s="1167"/>
      <c r="Q248" s="1167"/>
      <c r="R248" s="1167"/>
    </row>
    <row r="249" spans="1:18">
      <c r="A249" s="1167"/>
      <c r="B249" s="1167"/>
      <c r="C249" s="1167"/>
      <c r="D249" s="1167"/>
      <c r="E249" s="1167"/>
      <c r="F249" s="1167"/>
      <c r="G249" s="1167"/>
      <c r="H249" s="1167"/>
      <c r="I249" s="1167"/>
      <c r="J249" s="1167"/>
      <c r="K249" s="1167"/>
      <c r="L249" s="1167"/>
      <c r="M249" s="1167"/>
      <c r="N249" s="1167"/>
      <c r="O249" s="1167"/>
      <c r="P249" s="1167"/>
      <c r="Q249" s="1167"/>
      <c r="R249" s="1167"/>
    </row>
    <row r="250" spans="1:18">
      <c r="A250" s="1167"/>
      <c r="B250" s="1167"/>
      <c r="C250" s="1167"/>
      <c r="D250" s="1167"/>
      <c r="E250" s="1167"/>
      <c r="F250" s="1167"/>
      <c r="G250" s="1167"/>
      <c r="H250" s="1167"/>
      <c r="I250" s="1167"/>
      <c r="J250" s="1167"/>
      <c r="K250" s="1167"/>
      <c r="L250" s="1167"/>
      <c r="M250" s="1167"/>
      <c r="N250" s="1167"/>
      <c r="O250" s="1167"/>
      <c r="P250" s="1167"/>
      <c r="Q250" s="1167"/>
      <c r="R250" s="1167"/>
    </row>
    <row r="251" spans="1:18">
      <c r="A251" s="1167"/>
      <c r="B251" s="1167"/>
      <c r="C251" s="1167"/>
      <c r="D251" s="1167"/>
      <c r="E251" s="1167"/>
      <c r="F251" s="1167"/>
      <c r="G251" s="1167"/>
      <c r="H251" s="1167"/>
      <c r="I251" s="1167"/>
      <c r="J251" s="1167"/>
      <c r="K251" s="1167"/>
      <c r="L251" s="1167"/>
      <c r="M251" s="1167"/>
      <c r="N251" s="1167"/>
      <c r="O251" s="1167"/>
      <c r="P251" s="1167"/>
      <c r="Q251" s="1167"/>
      <c r="R251" s="1167"/>
    </row>
    <row r="252" spans="1:18">
      <c r="A252" s="1167"/>
      <c r="B252" s="1167"/>
      <c r="C252" s="1167"/>
      <c r="D252" s="1167"/>
      <c r="E252" s="1167"/>
      <c r="F252" s="1167"/>
      <c r="G252" s="1167"/>
      <c r="H252" s="1167"/>
      <c r="I252" s="1167"/>
      <c r="J252" s="1167"/>
      <c r="K252" s="1167"/>
      <c r="L252" s="1167"/>
      <c r="M252" s="1167"/>
      <c r="N252" s="1167"/>
      <c r="O252" s="1167"/>
      <c r="P252" s="1167"/>
      <c r="Q252" s="1167"/>
      <c r="R252" s="1167"/>
    </row>
    <row r="253" spans="1:18">
      <c r="A253" s="1167"/>
      <c r="B253" s="1167"/>
      <c r="C253" s="1167"/>
      <c r="D253" s="1167"/>
      <c r="E253" s="1167"/>
      <c r="F253" s="1167"/>
      <c r="G253" s="1167"/>
      <c r="H253" s="1167"/>
      <c r="I253" s="1167"/>
      <c r="J253" s="1167"/>
      <c r="K253" s="1167"/>
      <c r="L253" s="1167"/>
      <c r="M253" s="1167"/>
      <c r="N253" s="1167"/>
      <c r="O253" s="1167"/>
      <c r="P253" s="1167"/>
      <c r="Q253" s="1167"/>
      <c r="R253" s="1167"/>
    </row>
    <row r="254" spans="1:18">
      <c r="A254" s="1167"/>
      <c r="B254" s="1167"/>
      <c r="C254" s="1167"/>
      <c r="D254" s="1167"/>
      <c r="E254" s="1167"/>
      <c r="F254" s="1167"/>
      <c r="G254" s="1167"/>
      <c r="H254" s="1167"/>
      <c r="I254" s="1167"/>
      <c r="J254" s="1167"/>
      <c r="K254" s="1167"/>
      <c r="L254" s="1167"/>
      <c r="M254" s="1167"/>
      <c r="N254" s="1167"/>
      <c r="O254" s="1167"/>
      <c r="P254" s="1167"/>
      <c r="Q254" s="1167"/>
      <c r="R254" s="1167"/>
    </row>
    <row r="255" spans="1:18">
      <c r="A255" s="1167"/>
      <c r="B255" s="1167"/>
      <c r="C255" s="1167"/>
      <c r="D255" s="1167"/>
      <c r="E255" s="1167"/>
      <c r="F255" s="1167"/>
      <c r="G255" s="1167"/>
      <c r="H255" s="1167"/>
      <c r="I255" s="1167"/>
      <c r="J255" s="1167"/>
      <c r="K255" s="1167"/>
      <c r="L255" s="1167"/>
      <c r="M255" s="1167"/>
      <c r="N255" s="1167"/>
      <c r="O255" s="1167"/>
      <c r="P255" s="1167"/>
      <c r="Q255" s="1167"/>
      <c r="R255" s="1167"/>
    </row>
    <row r="256" spans="1:18">
      <c r="A256" s="1167"/>
      <c r="B256" s="1167"/>
      <c r="C256" s="1167"/>
      <c r="D256" s="1167"/>
      <c r="E256" s="1167"/>
      <c r="F256" s="1167"/>
      <c r="G256" s="1167"/>
      <c r="H256" s="1167"/>
      <c r="I256" s="1167"/>
      <c r="J256" s="1167"/>
      <c r="K256" s="1167"/>
      <c r="L256" s="1167"/>
      <c r="M256" s="1167"/>
      <c r="N256" s="1167"/>
      <c r="O256" s="1167"/>
      <c r="P256" s="1167"/>
      <c r="Q256" s="1167"/>
      <c r="R256" s="1167"/>
    </row>
    <row r="257" spans="1:18">
      <c r="A257" s="1167"/>
      <c r="B257" s="1167"/>
      <c r="C257" s="1167"/>
      <c r="D257" s="1167"/>
      <c r="E257" s="1167"/>
      <c r="F257" s="1167"/>
      <c r="G257" s="1167"/>
      <c r="H257" s="1167"/>
      <c r="I257" s="1167"/>
      <c r="J257" s="1167"/>
      <c r="K257" s="1167"/>
      <c r="L257" s="1167"/>
      <c r="M257" s="1167"/>
      <c r="N257" s="1167"/>
      <c r="O257" s="1167"/>
      <c r="P257" s="1167"/>
      <c r="Q257" s="1167"/>
      <c r="R257" s="1167"/>
    </row>
    <row r="258" spans="1:18">
      <c r="A258" s="1167"/>
      <c r="B258" s="1167"/>
      <c r="C258" s="1167"/>
      <c r="D258" s="1167"/>
      <c r="E258" s="1167"/>
      <c r="F258" s="1167"/>
      <c r="G258" s="1167"/>
      <c r="H258" s="1167"/>
      <c r="I258" s="1167"/>
      <c r="J258" s="1167"/>
      <c r="K258" s="1167"/>
      <c r="L258" s="1167"/>
      <c r="M258" s="1167"/>
      <c r="N258" s="1167"/>
      <c r="O258" s="1167"/>
      <c r="P258" s="1167"/>
      <c r="Q258" s="1167"/>
      <c r="R258" s="1167"/>
    </row>
    <row r="259" spans="1:18">
      <c r="A259" s="1167"/>
      <c r="B259" s="1167"/>
      <c r="C259" s="1167"/>
      <c r="D259" s="1167"/>
      <c r="E259" s="1167"/>
      <c r="F259" s="1167"/>
      <c r="G259" s="1167"/>
      <c r="H259" s="1167"/>
      <c r="I259" s="1167"/>
      <c r="J259" s="1167"/>
      <c r="K259" s="1167"/>
      <c r="L259" s="1167"/>
      <c r="M259" s="1167"/>
      <c r="N259" s="1167"/>
      <c r="O259" s="1167"/>
      <c r="P259" s="1167"/>
      <c r="Q259" s="1167"/>
      <c r="R259" s="1167"/>
    </row>
    <row r="260" spans="1:18">
      <c r="A260" s="1167"/>
      <c r="B260" s="1167"/>
      <c r="C260" s="1167"/>
      <c r="D260" s="1167"/>
      <c r="E260" s="1167"/>
      <c r="F260" s="1167"/>
      <c r="G260" s="1167"/>
      <c r="H260" s="1167"/>
      <c r="I260" s="1167"/>
      <c r="J260" s="1167"/>
      <c r="K260" s="1167"/>
      <c r="L260" s="1167"/>
      <c r="M260" s="1167"/>
      <c r="N260" s="1167"/>
      <c r="O260" s="1167"/>
      <c r="P260" s="1167"/>
      <c r="Q260" s="1167"/>
      <c r="R260" s="1167"/>
    </row>
    <row r="261" spans="1:18">
      <c r="A261" s="1167"/>
      <c r="B261" s="1167"/>
      <c r="C261" s="1167"/>
      <c r="D261" s="1167"/>
      <c r="E261" s="1167"/>
      <c r="F261" s="1167"/>
      <c r="G261" s="1167"/>
      <c r="H261" s="1167"/>
      <c r="I261" s="1167"/>
      <c r="J261" s="1167"/>
      <c r="K261" s="1167"/>
      <c r="L261" s="1167"/>
      <c r="M261" s="1167"/>
      <c r="N261" s="1167"/>
      <c r="O261" s="1167"/>
      <c r="P261" s="1167"/>
      <c r="Q261" s="1167"/>
      <c r="R261" s="1167"/>
    </row>
    <row r="262" spans="1:18">
      <c r="A262" s="1167"/>
      <c r="B262" s="1167"/>
      <c r="C262" s="1167"/>
      <c r="D262" s="1167"/>
      <c r="E262" s="1167"/>
      <c r="F262" s="1167"/>
      <c r="G262" s="1167"/>
      <c r="H262" s="1167"/>
      <c r="I262" s="1167"/>
      <c r="J262" s="1167"/>
      <c r="K262" s="1167"/>
      <c r="L262" s="1167"/>
      <c r="M262" s="1167"/>
      <c r="N262" s="1167"/>
      <c r="O262" s="1167"/>
      <c r="P262" s="1167"/>
      <c r="Q262" s="1167"/>
      <c r="R262" s="1167"/>
    </row>
    <row r="263" spans="1:18">
      <c r="A263" s="1167"/>
      <c r="B263" s="1167"/>
      <c r="C263" s="1167"/>
      <c r="D263" s="1167"/>
      <c r="E263" s="1167"/>
      <c r="F263" s="1167"/>
      <c r="G263" s="1167"/>
      <c r="H263" s="1167"/>
      <c r="I263" s="1167"/>
      <c r="J263" s="1167"/>
      <c r="K263" s="1167"/>
      <c r="L263" s="1167"/>
      <c r="M263" s="1167"/>
      <c r="N263" s="1167"/>
      <c r="O263" s="1167"/>
      <c r="P263" s="1167"/>
      <c r="Q263" s="1167"/>
      <c r="R263" s="1167"/>
    </row>
    <row r="264" spans="1:18">
      <c r="A264" s="1167"/>
      <c r="B264" s="1167"/>
      <c r="C264" s="1167"/>
      <c r="D264" s="1167"/>
      <c r="E264" s="1167"/>
      <c r="F264" s="1167"/>
      <c r="G264" s="1167"/>
      <c r="H264" s="1167"/>
      <c r="I264" s="1167"/>
      <c r="J264" s="1167"/>
      <c r="K264" s="1167"/>
      <c r="L264" s="1167"/>
      <c r="M264" s="1167"/>
      <c r="N264" s="1167"/>
      <c r="O264" s="1167"/>
      <c r="P264" s="1167"/>
      <c r="Q264" s="1167"/>
      <c r="R264" s="1167"/>
    </row>
    <row r="265" spans="1:18">
      <c r="A265" s="1167"/>
      <c r="B265" s="1167"/>
      <c r="C265" s="1167"/>
      <c r="D265" s="1167"/>
      <c r="E265" s="1167"/>
      <c r="F265" s="1167"/>
      <c r="G265" s="1167"/>
      <c r="H265" s="1167"/>
      <c r="I265" s="1167"/>
      <c r="J265" s="1167"/>
      <c r="K265" s="1167"/>
      <c r="L265" s="1167"/>
      <c r="M265" s="1167"/>
      <c r="N265" s="1167"/>
      <c r="O265" s="1167"/>
      <c r="P265" s="1167"/>
      <c r="Q265" s="1167"/>
      <c r="R265" s="1167"/>
    </row>
    <row r="266" spans="1:18">
      <c r="A266" s="1167"/>
      <c r="B266" s="1167"/>
      <c r="C266" s="1167"/>
      <c r="D266" s="1167"/>
      <c r="E266" s="1167"/>
      <c r="F266" s="1167"/>
      <c r="G266" s="1167"/>
      <c r="H266" s="1167"/>
      <c r="I266" s="1167"/>
      <c r="J266" s="1167"/>
      <c r="K266" s="1167"/>
      <c r="L266" s="1167"/>
      <c r="M266" s="1167"/>
      <c r="N266" s="1167"/>
      <c r="O266" s="1167"/>
      <c r="P266" s="1167"/>
      <c r="Q266" s="1167"/>
      <c r="R266" s="1167"/>
    </row>
    <row r="267" spans="1:18">
      <c r="A267" s="1167"/>
      <c r="B267" s="1167"/>
      <c r="C267" s="1167"/>
      <c r="D267" s="1167"/>
      <c r="E267" s="1167"/>
      <c r="F267" s="1167"/>
      <c r="G267" s="1167"/>
      <c r="H267" s="1167"/>
      <c r="I267" s="1167"/>
      <c r="J267" s="1167"/>
      <c r="K267" s="1167"/>
      <c r="L267" s="1167"/>
      <c r="M267" s="1167"/>
      <c r="N267" s="1167"/>
      <c r="O267" s="1167"/>
      <c r="P267" s="1167"/>
      <c r="Q267" s="1167"/>
      <c r="R267" s="1167"/>
    </row>
    <row r="268" spans="1:18">
      <c r="A268" s="1167"/>
      <c r="B268" s="1167"/>
      <c r="C268" s="1167"/>
      <c r="D268" s="1167"/>
      <c r="E268" s="1167"/>
      <c r="F268" s="1167"/>
      <c r="G268" s="1167"/>
      <c r="H268" s="1167"/>
      <c r="I268" s="1167"/>
      <c r="J268" s="1167"/>
      <c r="K268" s="1167"/>
      <c r="L268" s="1167"/>
      <c r="M268" s="1167"/>
      <c r="N268" s="1167"/>
      <c r="O268" s="1167"/>
      <c r="P268" s="1167"/>
      <c r="Q268" s="1167"/>
      <c r="R268" s="1167"/>
    </row>
    <row r="269" spans="1:18">
      <c r="A269" s="1167"/>
      <c r="B269" s="1167"/>
      <c r="C269" s="1167"/>
      <c r="D269" s="1167"/>
      <c r="E269" s="1167"/>
      <c r="F269" s="1167"/>
      <c r="G269" s="1167"/>
      <c r="H269" s="1167"/>
      <c r="I269" s="1167"/>
      <c r="J269" s="1167"/>
      <c r="K269" s="1167"/>
      <c r="L269" s="1167"/>
      <c r="M269" s="1167"/>
      <c r="N269" s="1167"/>
      <c r="O269" s="1167"/>
      <c r="P269" s="1167"/>
      <c r="Q269" s="1167"/>
      <c r="R269" s="1167"/>
    </row>
    <row r="270" spans="1:18">
      <c r="A270" s="1167"/>
      <c r="B270" s="1167"/>
      <c r="C270" s="1167"/>
      <c r="D270" s="1167"/>
      <c r="E270" s="1167"/>
      <c r="F270" s="1167"/>
      <c r="G270" s="1167"/>
      <c r="H270" s="1167"/>
      <c r="I270" s="1167"/>
      <c r="J270" s="1167"/>
      <c r="K270" s="1167"/>
      <c r="L270" s="1167"/>
      <c r="M270" s="1167"/>
      <c r="N270" s="1167"/>
      <c r="O270" s="1167"/>
      <c r="P270" s="1167"/>
      <c r="Q270" s="1167"/>
      <c r="R270" s="1167"/>
    </row>
    <row r="271" spans="1:18">
      <c r="A271" s="1167"/>
      <c r="B271" s="1167"/>
      <c r="C271" s="1167"/>
      <c r="D271" s="1167"/>
      <c r="E271" s="1167"/>
      <c r="F271" s="1167"/>
      <c r="G271" s="1167"/>
      <c r="H271" s="1167"/>
      <c r="I271" s="1167"/>
      <c r="J271" s="1167"/>
      <c r="K271" s="1167"/>
      <c r="L271" s="1167"/>
      <c r="M271" s="1167"/>
      <c r="N271" s="1167"/>
      <c r="O271" s="1167"/>
      <c r="P271" s="1167"/>
      <c r="Q271" s="1167"/>
      <c r="R271" s="1167"/>
    </row>
    <row r="272" spans="1:18">
      <c r="A272" s="1167"/>
      <c r="B272" s="1167"/>
      <c r="C272" s="1167"/>
      <c r="D272" s="1167"/>
      <c r="E272" s="1167"/>
      <c r="F272" s="1167"/>
      <c r="G272" s="1167"/>
      <c r="H272" s="1167"/>
      <c r="I272" s="1167"/>
      <c r="J272" s="1167"/>
      <c r="K272" s="1167"/>
      <c r="L272" s="1167"/>
      <c r="M272" s="1167"/>
      <c r="N272" s="1167"/>
      <c r="O272" s="1167"/>
      <c r="P272" s="1167"/>
      <c r="Q272" s="1167"/>
      <c r="R272" s="1167"/>
    </row>
    <row r="273" spans="1:18">
      <c r="A273" s="1167"/>
      <c r="B273" s="1167"/>
      <c r="C273" s="1167"/>
      <c r="D273" s="1167"/>
      <c r="E273" s="1167"/>
      <c r="F273" s="1167"/>
      <c r="G273" s="1167"/>
      <c r="H273" s="1167"/>
      <c r="I273" s="1167"/>
      <c r="J273" s="1167"/>
      <c r="K273" s="1167"/>
      <c r="L273" s="1167"/>
      <c r="M273" s="1167"/>
      <c r="N273" s="1167"/>
      <c r="O273" s="1167"/>
      <c r="P273" s="1167"/>
      <c r="Q273" s="1167"/>
      <c r="R273" s="1167"/>
    </row>
    <row r="274" spans="1:18">
      <c r="A274" s="1167"/>
      <c r="B274" s="1167"/>
      <c r="C274" s="1167"/>
      <c r="D274" s="1167"/>
      <c r="E274" s="1167"/>
      <c r="F274" s="1167"/>
      <c r="G274" s="1167"/>
      <c r="H274" s="1167"/>
      <c r="I274" s="1167"/>
      <c r="J274" s="1167"/>
      <c r="K274" s="1167"/>
      <c r="L274" s="1167"/>
      <c r="M274" s="1167"/>
      <c r="N274" s="1167"/>
      <c r="O274" s="1167"/>
      <c r="P274" s="1167"/>
      <c r="Q274" s="1167"/>
      <c r="R274" s="1167"/>
    </row>
    <row r="275" spans="1:18">
      <c r="A275" s="1167"/>
      <c r="B275" s="1167"/>
      <c r="C275" s="1167"/>
      <c r="D275" s="1167"/>
      <c r="E275" s="1167"/>
      <c r="F275" s="1167"/>
      <c r="G275" s="1167"/>
      <c r="H275" s="1167"/>
      <c r="I275" s="1167"/>
      <c r="J275" s="1167"/>
      <c r="K275" s="1167"/>
      <c r="L275" s="1167"/>
      <c r="M275" s="1167"/>
      <c r="N275" s="1167"/>
      <c r="O275" s="1167"/>
      <c r="P275" s="1167"/>
      <c r="Q275" s="1167"/>
      <c r="R275" s="1167"/>
    </row>
    <row r="276" spans="1:18">
      <c r="A276" s="1167"/>
      <c r="B276" s="1167"/>
      <c r="C276" s="1167"/>
      <c r="D276" s="1167"/>
      <c r="E276" s="1167"/>
      <c r="F276" s="1167"/>
      <c r="G276" s="1167"/>
      <c r="H276" s="1167"/>
      <c r="I276" s="1167"/>
      <c r="J276" s="1167"/>
      <c r="K276" s="1167"/>
      <c r="L276" s="1167"/>
      <c r="M276" s="1167"/>
      <c r="N276" s="1167"/>
      <c r="O276" s="1167"/>
      <c r="P276" s="1167"/>
      <c r="Q276" s="1167"/>
      <c r="R276" s="1167"/>
    </row>
    <row r="277" spans="1:18">
      <c r="A277" s="1167"/>
      <c r="B277" s="1167"/>
      <c r="C277" s="1167"/>
      <c r="D277" s="1167"/>
      <c r="E277" s="1167"/>
      <c r="F277" s="1167"/>
      <c r="G277" s="1167"/>
      <c r="H277" s="1167"/>
      <c r="I277" s="1167"/>
      <c r="J277" s="1167"/>
      <c r="K277" s="1167"/>
      <c r="L277" s="1167"/>
      <c r="M277" s="1167"/>
      <c r="N277" s="1167"/>
      <c r="O277" s="1167"/>
      <c r="P277" s="1167"/>
      <c r="Q277" s="1167"/>
      <c r="R277" s="1167"/>
    </row>
    <row r="278" spans="1:18">
      <c r="A278" s="1167"/>
      <c r="B278" s="1167"/>
      <c r="C278" s="1167"/>
      <c r="D278" s="1167"/>
      <c r="E278" s="1167"/>
      <c r="F278" s="1167"/>
      <c r="G278" s="1167"/>
      <c r="H278" s="1167"/>
      <c r="I278" s="1167"/>
      <c r="J278" s="1167"/>
      <c r="K278" s="1167"/>
      <c r="L278" s="1167"/>
      <c r="M278" s="1167"/>
      <c r="N278" s="1167"/>
      <c r="O278" s="1167"/>
      <c r="P278" s="1167"/>
      <c r="Q278" s="1167"/>
      <c r="R278" s="1167"/>
    </row>
    <row r="279" spans="1:18">
      <c r="A279" s="1167"/>
      <c r="B279" s="1167"/>
      <c r="C279" s="1167"/>
      <c r="D279" s="1167"/>
      <c r="E279" s="1167"/>
      <c r="F279" s="1167"/>
      <c r="G279" s="1167"/>
      <c r="H279" s="1167"/>
      <c r="I279" s="1167"/>
      <c r="J279" s="1167"/>
      <c r="K279" s="1167"/>
      <c r="L279" s="1167"/>
      <c r="M279" s="1167"/>
      <c r="N279" s="1167"/>
      <c r="O279" s="1167"/>
      <c r="P279" s="1167"/>
      <c r="Q279" s="1167"/>
      <c r="R279" s="1167"/>
    </row>
    <row r="280" spans="1:18">
      <c r="A280" s="1167"/>
      <c r="B280" s="1167"/>
      <c r="C280" s="1167"/>
      <c r="D280" s="1167"/>
      <c r="E280" s="1167"/>
      <c r="F280" s="1167"/>
      <c r="G280" s="1167"/>
      <c r="H280" s="1167"/>
      <c r="I280" s="1167"/>
      <c r="J280" s="1167"/>
      <c r="K280" s="1167"/>
      <c r="L280" s="1167"/>
      <c r="M280" s="1167"/>
      <c r="N280" s="1167"/>
      <c r="O280" s="1167"/>
      <c r="P280" s="1167"/>
      <c r="Q280" s="1167"/>
      <c r="R280" s="1167"/>
    </row>
    <row r="281" spans="1:18">
      <c r="A281" s="1167"/>
      <c r="B281" s="1167"/>
      <c r="C281" s="1167"/>
      <c r="D281" s="1167"/>
      <c r="E281" s="1167"/>
      <c r="F281" s="1167"/>
      <c r="G281" s="1167"/>
      <c r="H281" s="1167"/>
      <c r="I281" s="1167"/>
      <c r="J281" s="1167"/>
      <c r="K281" s="1167"/>
      <c r="L281" s="1167"/>
      <c r="M281" s="1167"/>
      <c r="N281" s="1167"/>
      <c r="O281" s="1167"/>
      <c r="P281" s="1167"/>
      <c r="Q281" s="1167"/>
      <c r="R281" s="1167"/>
    </row>
    <row r="282" spans="1:18">
      <c r="A282" s="1167"/>
      <c r="B282" s="1167"/>
      <c r="C282" s="1167"/>
      <c r="D282" s="1167"/>
      <c r="E282" s="1167"/>
      <c r="F282" s="1167"/>
      <c r="G282" s="1167"/>
      <c r="H282" s="1167"/>
      <c r="I282" s="1167"/>
      <c r="J282" s="1167"/>
      <c r="K282" s="1167"/>
      <c r="L282" s="1167"/>
      <c r="M282" s="1167"/>
      <c r="N282" s="1167"/>
      <c r="O282" s="1167"/>
      <c r="P282" s="1167"/>
      <c r="Q282" s="1167"/>
      <c r="R282" s="1167"/>
    </row>
    <row r="283" spans="1:18">
      <c r="A283" s="1167"/>
      <c r="B283" s="1167"/>
      <c r="C283" s="1167"/>
      <c r="D283" s="1167"/>
      <c r="E283" s="1167"/>
      <c r="F283" s="1167"/>
      <c r="G283" s="1167"/>
      <c r="H283" s="1167"/>
      <c r="I283" s="1167"/>
      <c r="J283" s="1167"/>
      <c r="K283" s="1167"/>
      <c r="L283" s="1167"/>
      <c r="M283" s="1167"/>
      <c r="N283" s="1167"/>
      <c r="O283" s="1167"/>
      <c r="P283" s="1167"/>
      <c r="Q283" s="1167"/>
      <c r="R283" s="1167"/>
    </row>
    <row r="284" spans="1:18">
      <c r="A284" s="1167"/>
      <c r="B284" s="1167"/>
      <c r="C284" s="1167"/>
      <c r="D284" s="1167"/>
      <c r="E284" s="1167"/>
      <c r="F284" s="1167"/>
      <c r="G284" s="1167"/>
      <c r="H284" s="1167"/>
      <c r="I284" s="1167"/>
      <c r="J284" s="1167"/>
      <c r="K284" s="1167"/>
      <c r="L284" s="1167"/>
      <c r="M284" s="1167"/>
      <c r="N284" s="1167"/>
      <c r="O284" s="1167"/>
      <c r="P284" s="1167"/>
      <c r="Q284" s="1167"/>
      <c r="R284" s="1167"/>
    </row>
    <row r="285" spans="1:18">
      <c r="A285" s="1167"/>
      <c r="B285" s="1167"/>
      <c r="C285" s="1167"/>
      <c r="D285" s="1167"/>
      <c r="E285" s="1167"/>
      <c r="F285" s="1167"/>
      <c r="G285" s="1167"/>
      <c r="H285" s="1167"/>
      <c r="I285" s="1167"/>
      <c r="J285" s="1167"/>
      <c r="K285" s="1167"/>
      <c r="L285" s="1167"/>
      <c r="M285" s="1167"/>
      <c r="N285" s="1167"/>
      <c r="O285" s="1167"/>
      <c r="P285" s="1167"/>
      <c r="Q285" s="1167"/>
      <c r="R285" s="1167"/>
    </row>
    <row r="286" spans="1:18">
      <c r="A286" s="1167"/>
      <c r="B286" s="1167"/>
      <c r="C286" s="1167"/>
      <c r="D286" s="1167"/>
      <c r="E286" s="1167"/>
      <c r="F286" s="1167"/>
      <c r="G286" s="1167"/>
      <c r="H286" s="1167"/>
      <c r="I286" s="1167"/>
      <c r="J286" s="1167"/>
      <c r="K286" s="1167"/>
      <c r="L286" s="1167"/>
      <c r="M286" s="1167"/>
      <c r="N286" s="1167"/>
      <c r="O286" s="1167"/>
      <c r="P286" s="1167"/>
      <c r="Q286" s="1167"/>
      <c r="R286" s="1167"/>
    </row>
    <row r="287" spans="1:18">
      <c r="A287" s="1167"/>
      <c r="B287" s="1167"/>
      <c r="C287" s="1167"/>
      <c r="D287" s="1167"/>
      <c r="E287" s="1167"/>
      <c r="F287" s="1167"/>
      <c r="G287" s="1167"/>
      <c r="H287" s="1167"/>
      <c r="I287" s="1167"/>
      <c r="J287" s="1167"/>
      <c r="K287" s="1167"/>
      <c r="L287" s="1167"/>
      <c r="M287" s="1167"/>
      <c r="N287" s="1167"/>
      <c r="O287" s="1167"/>
      <c r="P287" s="1167"/>
      <c r="Q287" s="1167"/>
      <c r="R287" s="1167"/>
    </row>
    <row r="288" spans="1:18">
      <c r="A288" s="1167"/>
      <c r="B288" s="1167"/>
      <c r="C288" s="1167"/>
      <c r="D288" s="1167"/>
      <c r="E288" s="1167"/>
      <c r="F288" s="1167"/>
      <c r="G288" s="1167"/>
      <c r="H288" s="1167"/>
      <c r="I288" s="1167"/>
      <c r="J288" s="1167"/>
      <c r="K288" s="1167"/>
      <c r="L288" s="1167"/>
      <c r="M288" s="1167"/>
      <c r="N288" s="1167"/>
      <c r="O288" s="1167"/>
      <c r="P288" s="1167"/>
      <c r="Q288" s="1167"/>
      <c r="R288" s="1167"/>
    </row>
    <row r="289" spans="1:18">
      <c r="A289" s="1167"/>
      <c r="B289" s="1167"/>
      <c r="C289" s="1167"/>
      <c r="D289" s="1167"/>
      <c r="E289" s="1167"/>
      <c r="F289" s="1167"/>
      <c r="G289" s="1167"/>
      <c r="H289" s="1167"/>
      <c r="I289" s="1167"/>
      <c r="J289" s="1167"/>
      <c r="K289" s="1167"/>
      <c r="L289" s="1167"/>
      <c r="M289" s="1167"/>
      <c r="N289" s="1167"/>
      <c r="O289" s="1167"/>
      <c r="P289" s="1167"/>
      <c r="Q289" s="1167"/>
      <c r="R289" s="1167"/>
    </row>
    <row r="290" spans="1:18">
      <c r="A290" s="1167"/>
      <c r="B290" s="1167"/>
      <c r="C290" s="1167"/>
      <c r="D290" s="1167"/>
      <c r="E290" s="1167"/>
      <c r="F290" s="1167"/>
      <c r="G290" s="1167"/>
      <c r="H290" s="1167"/>
      <c r="I290" s="1167"/>
      <c r="J290" s="1167"/>
      <c r="K290" s="1167"/>
      <c r="L290" s="1167"/>
      <c r="M290" s="1167"/>
      <c r="N290" s="1167"/>
      <c r="O290" s="1167"/>
      <c r="P290" s="1167"/>
      <c r="Q290" s="1167"/>
      <c r="R290" s="1167"/>
    </row>
    <row r="291" spans="1:18">
      <c r="A291" s="1167"/>
      <c r="B291" s="1167"/>
      <c r="C291" s="1167"/>
      <c r="D291" s="1167"/>
      <c r="E291" s="1167"/>
      <c r="F291" s="1167"/>
      <c r="G291" s="1167"/>
      <c r="H291" s="1167"/>
      <c r="I291" s="1167"/>
      <c r="J291" s="1167"/>
      <c r="K291" s="1167"/>
      <c r="L291" s="1167"/>
      <c r="M291" s="1167"/>
      <c r="N291" s="1167"/>
      <c r="O291" s="1167"/>
      <c r="P291" s="1167"/>
      <c r="Q291" s="1167"/>
      <c r="R291" s="1167"/>
    </row>
    <row r="292" spans="1:18">
      <c r="A292" s="1167"/>
      <c r="B292" s="1167"/>
      <c r="C292" s="1167"/>
      <c r="D292" s="1167"/>
      <c r="E292" s="1167"/>
      <c r="F292" s="1167"/>
      <c r="G292" s="1167"/>
      <c r="H292" s="1167"/>
      <c r="I292" s="1167"/>
      <c r="J292" s="1167"/>
      <c r="K292" s="1167"/>
      <c r="L292" s="1167"/>
      <c r="M292" s="1167"/>
      <c r="N292" s="1167"/>
      <c r="O292" s="1167"/>
      <c r="P292" s="1167"/>
      <c r="Q292" s="1167"/>
      <c r="R292" s="1167"/>
    </row>
    <row r="293" spans="1:18">
      <c r="A293" s="1167"/>
      <c r="B293" s="1167"/>
      <c r="C293" s="1167"/>
      <c r="D293" s="1167"/>
      <c r="E293" s="1167"/>
      <c r="F293" s="1167"/>
      <c r="G293" s="1167"/>
      <c r="H293" s="1167"/>
      <c r="I293" s="1167"/>
      <c r="J293" s="1167"/>
      <c r="K293" s="1167"/>
      <c r="L293" s="1167"/>
      <c r="M293" s="1167"/>
      <c r="N293" s="1167"/>
      <c r="O293" s="1167"/>
      <c r="P293" s="1167"/>
      <c r="Q293" s="1167"/>
      <c r="R293" s="1167"/>
    </row>
    <row r="294" spans="1:18">
      <c r="A294" s="1167"/>
      <c r="B294" s="1167"/>
      <c r="C294" s="1167"/>
      <c r="D294" s="1167"/>
      <c r="E294" s="1167"/>
      <c r="F294" s="1167"/>
      <c r="G294" s="1167"/>
      <c r="H294" s="1167"/>
      <c r="I294" s="1167"/>
      <c r="J294" s="1167"/>
      <c r="K294" s="1167"/>
      <c r="L294" s="1167"/>
      <c r="M294" s="1167"/>
      <c r="N294" s="1167"/>
      <c r="O294" s="1167"/>
      <c r="P294" s="1167"/>
      <c r="Q294" s="1167"/>
      <c r="R294" s="1167"/>
    </row>
    <row r="295" spans="1:18">
      <c r="A295" s="1167"/>
      <c r="B295" s="1167"/>
      <c r="C295" s="1167"/>
      <c r="D295" s="1167"/>
      <c r="E295" s="1167"/>
      <c r="F295" s="1167"/>
      <c r="G295" s="1167"/>
      <c r="H295" s="1167"/>
      <c r="I295" s="1167"/>
      <c r="J295" s="1167"/>
      <c r="K295" s="1167"/>
      <c r="L295" s="1167"/>
      <c r="M295" s="1167"/>
      <c r="N295" s="1167"/>
      <c r="O295" s="1167"/>
      <c r="P295" s="1167"/>
      <c r="Q295" s="1167"/>
      <c r="R295" s="1167"/>
    </row>
    <row r="296" spans="1:18">
      <c r="A296" s="1167"/>
      <c r="B296" s="1167"/>
      <c r="C296" s="1167"/>
      <c r="D296" s="1167"/>
      <c r="E296" s="1167"/>
      <c r="F296" s="1167"/>
      <c r="G296" s="1167"/>
      <c r="H296" s="1167"/>
      <c r="I296" s="1167"/>
      <c r="J296" s="1167"/>
      <c r="K296" s="1167"/>
      <c r="L296" s="1167"/>
      <c r="M296" s="1167"/>
      <c r="N296" s="1167"/>
      <c r="O296" s="1167"/>
      <c r="P296" s="1167"/>
      <c r="Q296" s="1167"/>
      <c r="R296" s="1167"/>
    </row>
    <row r="297" spans="1:18">
      <c r="A297" s="1167"/>
      <c r="B297" s="1167"/>
      <c r="C297" s="1167"/>
      <c r="D297" s="1167"/>
      <c r="E297" s="1167"/>
      <c r="F297" s="1167"/>
      <c r="G297" s="1167"/>
      <c r="H297" s="1167"/>
      <c r="I297" s="1167"/>
      <c r="J297" s="1167"/>
      <c r="K297" s="1167"/>
      <c r="L297" s="1167"/>
      <c r="M297" s="1167"/>
      <c r="N297" s="1167"/>
      <c r="O297" s="1167"/>
      <c r="P297" s="1167"/>
      <c r="Q297" s="1167"/>
      <c r="R297" s="1167"/>
    </row>
    <row r="298" spans="1:18">
      <c r="A298" s="1167"/>
      <c r="B298" s="1167"/>
      <c r="C298" s="1167"/>
      <c r="D298" s="1167"/>
      <c r="E298" s="1167"/>
      <c r="F298" s="1167"/>
      <c r="G298" s="1167"/>
      <c r="H298" s="1167"/>
      <c r="I298" s="1167"/>
      <c r="J298" s="1167"/>
      <c r="K298" s="1167"/>
      <c r="L298" s="1167"/>
      <c r="M298" s="1167"/>
      <c r="N298" s="1167"/>
      <c r="O298" s="1167"/>
      <c r="P298" s="1167"/>
      <c r="Q298" s="1167"/>
      <c r="R298" s="1167"/>
    </row>
    <row r="299" spans="1:18">
      <c r="A299" s="1167"/>
      <c r="B299" s="1167"/>
      <c r="C299" s="1167"/>
      <c r="D299" s="1167"/>
      <c r="E299" s="1167"/>
      <c r="F299" s="1167"/>
      <c r="G299" s="1167"/>
      <c r="H299" s="1167"/>
      <c r="I299" s="1167"/>
      <c r="J299" s="1167"/>
      <c r="K299" s="1167"/>
      <c r="L299" s="1167"/>
      <c r="M299" s="1167"/>
      <c r="N299" s="1167"/>
      <c r="O299" s="1167"/>
      <c r="P299" s="1167"/>
      <c r="Q299" s="1167"/>
      <c r="R299" s="1167"/>
    </row>
    <row r="300" spans="1:18">
      <c r="A300" s="1167"/>
      <c r="B300" s="1167"/>
      <c r="C300" s="1167"/>
      <c r="D300" s="1167"/>
      <c r="E300" s="1167"/>
      <c r="F300" s="1167"/>
      <c r="G300" s="1167"/>
      <c r="H300" s="1167"/>
      <c r="I300" s="1167"/>
      <c r="J300" s="1167"/>
      <c r="K300" s="1167"/>
      <c r="L300" s="1167"/>
      <c r="M300" s="1167"/>
      <c r="N300" s="1167"/>
      <c r="O300" s="1167"/>
      <c r="P300" s="1167"/>
      <c r="Q300" s="1167"/>
      <c r="R300" s="1167"/>
    </row>
    <row r="301" spans="1:18">
      <c r="A301" s="1167"/>
      <c r="B301" s="1167"/>
      <c r="C301" s="1167"/>
      <c r="D301" s="1167"/>
      <c r="E301" s="1167"/>
      <c r="F301" s="1167"/>
      <c r="G301" s="1167"/>
      <c r="H301" s="1167"/>
      <c r="I301" s="1167"/>
      <c r="J301" s="1167"/>
      <c r="K301" s="1167"/>
      <c r="L301" s="1167"/>
      <c r="M301" s="1167"/>
      <c r="N301" s="1167"/>
      <c r="O301" s="1167"/>
      <c r="P301" s="1167"/>
      <c r="Q301" s="1167"/>
      <c r="R301" s="1167"/>
    </row>
    <row r="302" spans="1:18">
      <c r="A302" s="1167"/>
      <c r="B302" s="1167"/>
      <c r="C302" s="1167"/>
      <c r="D302" s="1167"/>
      <c r="E302" s="1167"/>
      <c r="F302" s="1167"/>
      <c r="G302" s="1167"/>
      <c r="H302" s="1167"/>
      <c r="I302" s="1167"/>
      <c r="J302" s="1167"/>
      <c r="K302" s="1167"/>
      <c r="L302" s="1167"/>
      <c r="M302" s="1167"/>
      <c r="N302" s="1167"/>
      <c r="O302" s="1167"/>
      <c r="P302" s="1167"/>
      <c r="Q302" s="1167"/>
      <c r="R302" s="1167"/>
    </row>
    <row r="303" spans="1:18">
      <c r="A303" s="1167"/>
      <c r="B303" s="1167"/>
      <c r="C303" s="1167"/>
      <c r="D303" s="1167"/>
      <c r="E303" s="1167"/>
      <c r="F303" s="1167"/>
      <c r="G303" s="1167"/>
      <c r="H303" s="1167"/>
      <c r="I303" s="1167"/>
      <c r="J303" s="1167"/>
      <c r="K303" s="1167"/>
      <c r="L303" s="1167"/>
      <c r="M303" s="1167"/>
      <c r="N303" s="1167"/>
      <c r="O303" s="1167"/>
      <c r="P303" s="1167"/>
      <c r="Q303" s="1167"/>
      <c r="R303" s="1167"/>
    </row>
    <row r="304" spans="1:18">
      <c r="A304" s="1167"/>
      <c r="B304" s="1167"/>
      <c r="C304" s="1167"/>
      <c r="D304" s="1167"/>
      <c r="E304" s="1167"/>
      <c r="F304" s="1167"/>
      <c r="G304" s="1167"/>
      <c r="H304" s="1167"/>
      <c r="I304" s="1167"/>
      <c r="J304" s="1167"/>
      <c r="K304" s="1167"/>
      <c r="L304" s="1167"/>
      <c r="M304" s="1167"/>
      <c r="N304" s="1167"/>
      <c r="O304" s="1167"/>
      <c r="P304" s="1167"/>
      <c r="Q304" s="1167"/>
      <c r="R304" s="1167"/>
    </row>
    <row r="305" spans="1:18">
      <c r="A305" s="1167"/>
      <c r="B305" s="1167"/>
      <c r="C305" s="1167"/>
      <c r="D305" s="1167"/>
      <c r="E305" s="1167"/>
      <c r="F305" s="1167"/>
      <c r="G305" s="1167"/>
      <c r="H305" s="1167"/>
      <c r="I305" s="1167"/>
      <c r="J305" s="1167"/>
      <c r="K305" s="1167"/>
      <c r="L305" s="1167"/>
      <c r="M305" s="1167"/>
      <c r="N305" s="1167"/>
      <c r="O305" s="1167"/>
      <c r="P305" s="1167"/>
      <c r="Q305" s="1167"/>
      <c r="R305" s="1167"/>
    </row>
    <row r="306" spans="1:18">
      <c r="A306" s="1167"/>
      <c r="B306" s="1167"/>
      <c r="C306" s="1167"/>
      <c r="D306" s="1167"/>
      <c r="E306" s="1167"/>
      <c r="F306" s="1167"/>
      <c r="G306" s="1167"/>
      <c r="H306" s="1167"/>
      <c r="I306" s="1167"/>
      <c r="J306" s="1167"/>
      <c r="K306" s="1167"/>
      <c r="L306" s="1167"/>
      <c r="M306" s="1167"/>
      <c r="N306" s="1167"/>
      <c r="O306" s="1167"/>
      <c r="P306" s="1167"/>
      <c r="Q306" s="1167"/>
      <c r="R306" s="1167"/>
    </row>
    <row r="307" spans="1:18">
      <c r="A307" s="1167"/>
      <c r="B307" s="1167"/>
      <c r="C307" s="1167"/>
      <c r="D307" s="1167"/>
      <c r="E307" s="1167"/>
      <c r="F307" s="1167"/>
      <c r="G307" s="1167"/>
      <c r="H307" s="1167"/>
      <c r="I307" s="1167"/>
      <c r="J307" s="1167"/>
      <c r="K307" s="1167"/>
      <c r="L307" s="1167"/>
      <c r="M307" s="1167"/>
      <c r="N307" s="1167"/>
      <c r="O307" s="1167"/>
      <c r="P307" s="1167"/>
      <c r="Q307" s="1167"/>
      <c r="R307" s="1167"/>
    </row>
    <row r="308" spans="1:18">
      <c r="A308" s="1167"/>
      <c r="B308" s="1167"/>
      <c r="C308" s="1167"/>
      <c r="D308" s="1167"/>
      <c r="E308" s="1167"/>
      <c r="F308" s="1167"/>
      <c r="G308" s="1167"/>
      <c r="H308" s="1167"/>
      <c r="I308" s="1167"/>
      <c r="J308" s="1167"/>
      <c r="K308" s="1167"/>
      <c r="L308" s="1167"/>
      <c r="M308" s="1167"/>
      <c r="N308" s="1167"/>
      <c r="O308" s="1167"/>
      <c r="P308" s="1167"/>
      <c r="Q308" s="1167"/>
      <c r="R308" s="1167"/>
    </row>
    <row r="309" spans="1:18">
      <c r="A309" s="1167"/>
      <c r="B309" s="1167"/>
      <c r="C309" s="1167"/>
      <c r="D309" s="1167"/>
      <c r="E309" s="1167"/>
      <c r="F309" s="1167"/>
      <c r="G309" s="1167"/>
      <c r="H309" s="1167"/>
      <c r="I309" s="1167"/>
      <c r="J309" s="1167"/>
      <c r="K309" s="1167"/>
      <c r="L309" s="1167"/>
      <c r="M309" s="1167"/>
      <c r="N309" s="1167"/>
      <c r="O309" s="1167"/>
      <c r="P309" s="1167"/>
      <c r="Q309" s="1167"/>
      <c r="R309" s="1167"/>
    </row>
    <row r="310" spans="1:18">
      <c r="A310" s="1167"/>
      <c r="B310" s="1167"/>
      <c r="C310" s="1167"/>
      <c r="D310" s="1167"/>
      <c r="E310" s="1167"/>
      <c r="F310" s="1167"/>
      <c r="G310" s="1167"/>
      <c r="H310" s="1167"/>
      <c r="I310" s="1167"/>
      <c r="J310" s="1167"/>
      <c r="K310" s="1167"/>
      <c r="L310" s="1167"/>
      <c r="M310" s="1167"/>
      <c r="N310" s="1167"/>
      <c r="O310" s="1167"/>
      <c r="P310" s="1167"/>
      <c r="Q310" s="1167"/>
      <c r="R310" s="1167"/>
    </row>
    <row r="311" spans="1:18">
      <c r="A311" s="1167"/>
      <c r="B311" s="1167"/>
      <c r="C311" s="1167"/>
      <c r="D311" s="1167"/>
      <c r="E311" s="1167"/>
      <c r="F311" s="1167"/>
      <c r="G311" s="1167"/>
      <c r="H311" s="1167"/>
      <c r="I311" s="1167"/>
      <c r="J311" s="1167"/>
      <c r="K311" s="1167"/>
      <c r="L311" s="1167"/>
      <c r="M311" s="1167"/>
      <c r="N311" s="1167"/>
      <c r="O311" s="1167"/>
      <c r="P311" s="1167"/>
      <c r="Q311" s="1167"/>
      <c r="R311" s="1167"/>
    </row>
    <row r="312" spans="1:18">
      <c r="A312" s="1167"/>
      <c r="B312" s="1167"/>
      <c r="C312" s="1167"/>
      <c r="D312" s="1167"/>
      <c r="E312" s="1167"/>
      <c r="F312" s="1167"/>
      <c r="G312" s="1167"/>
      <c r="H312" s="1167"/>
      <c r="I312" s="1167"/>
      <c r="J312" s="1167"/>
      <c r="K312" s="1167"/>
      <c r="L312" s="1167"/>
      <c r="M312" s="1167"/>
      <c r="N312" s="1167"/>
      <c r="O312" s="1167"/>
      <c r="P312" s="1167"/>
      <c r="Q312" s="1167"/>
      <c r="R312" s="1167"/>
    </row>
    <row r="313" spans="1:18">
      <c r="A313" s="1167"/>
      <c r="B313" s="1167"/>
      <c r="C313" s="1167"/>
      <c r="D313" s="1167"/>
      <c r="E313" s="1167"/>
      <c r="F313" s="1167"/>
      <c r="G313" s="1167"/>
      <c r="H313" s="1167"/>
      <c r="I313" s="1167"/>
      <c r="J313" s="1167"/>
      <c r="K313" s="1167"/>
      <c r="L313" s="1167"/>
      <c r="M313" s="1167"/>
      <c r="N313" s="1167"/>
      <c r="O313" s="1167"/>
      <c r="P313" s="1167"/>
      <c r="Q313" s="1167"/>
      <c r="R313" s="1167"/>
    </row>
    <row r="314" spans="1:18">
      <c r="A314" s="1167"/>
      <c r="B314" s="1167"/>
      <c r="C314" s="1167"/>
      <c r="D314" s="1167"/>
      <c r="E314" s="1167"/>
      <c r="F314" s="1167"/>
      <c r="G314" s="1167"/>
      <c r="H314" s="1167"/>
      <c r="I314" s="1167"/>
      <c r="J314" s="1167"/>
      <c r="K314" s="1167"/>
      <c r="L314" s="1167"/>
      <c r="M314" s="1167"/>
      <c r="N314" s="1167"/>
      <c r="O314" s="1167"/>
      <c r="P314" s="1167"/>
      <c r="Q314" s="1167"/>
      <c r="R314" s="1167"/>
    </row>
    <row r="315" spans="1:18">
      <c r="A315" s="1167"/>
      <c r="B315" s="1167"/>
      <c r="C315" s="1167"/>
      <c r="D315" s="1167"/>
      <c r="E315" s="1167"/>
      <c r="F315" s="1167"/>
      <c r="G315" s="1167"/>
      <c r="H315" s="1167"/>
      <c r="I315" s="1167"/>
      <c r="J315" s="1167"/>
      <c r="K315" s="1167"/>
      <c r="L315" s="1167"/>
      <c r="M315" s="1167"/>
      <c r="N315" s="1167"/>
      <c r="O315" s="1167"/>
      <c r="P315" s="1167"/>
      <c r="Q315" s="1167"/>
      <c r="R315" s="1167"/>
    </row>
    <row r="316" spans="1:18">
      <c r="A316" s="1167"/>
      <c r="B316" s="1167"/>
      <c r="C316" s="1167"/>
      <c r="D316" s="1167"/>
      <c r="E316" s="1167"/>
      <c r="F316" s="1167"/>
      <c r="G316" s="1167"/>
      <c r="H316" s="1167"/>
      <c r="I316" s="1167"/>
      <c r="J316" s="1167"/>
      <c r="K316" s="1167"/>
      <c r="L316" s="1167"/>
      <c r="M316" s="1167"/>
      <c r="N316" s="1167"/>
      <c r="O316" s="1167"/>
      <c r="P316" s="1167"/>
      <c r="Q316" s="1167"/>
      <c r="R316" s="1167"/>
    </row>
    <row r="317" spans="1:18">
      <c r="A317" s="1167"/>
      <c r="B317" s="1167"/>
      <c r="C317" s="1167"/>
      <c r="D317" s="1167"/>
      <c r="E317" s="1167"/>
      <c r="F317" s="1167"/>
      <c r="G317" s="1167"/>
      <c r="H317" s="1167"/>
      <c r="I317" s="1167"/>
      <c r="J317" s="1167"/>
      <c r="K317" s="1167"/>
      <c r="L317" s="1167"/>
      <c r="M317" s="1167"/>
      <c r="N317" s="1167"/>
      <c r="O317" s="1167"/>
      <c r="P317" s="1167"/>
      <c r="Q317" s="1167"/>
      <c r="R317" s="1167"/>
    </row>
    <row r="318" spans="1:18">
      <c r="A318" s="1167"/>
      <c r="B318" s="1167"/>
      <c r="C318" s="1167"/>
      <c r="D318" s="1167"/>
      <c r="E318" s="1167"/>
      <c r="F318" s="1167"/>
      <c r="G318" s="1167"/>
      <c r="H318" s="1167"/>
      <c r="I318" s="1167"/>
      <c r="J318" s="1167"/>
      <c r="K318" s="1167"/>
      <c r="L318" s="1167"/>
      <c r="M318" s="1167"/>
      <c r="N318" s="1167"/>
      <c r="O318" s="1167"/>
      <c r="P318" s="1167"/>
      <c r="Q318" s="1167"/>
      <c r="R318" s="1167"/>
    </row>
    <row r="319" spans="1:18">
      <c r="A319" s="1167"/>
      <c r="B319" s="1167"/>
      <c r="C319" s="1167"/>
      <c r="D319" s="1167"/>
      <c r="E319" s="1167"/>
      <c r="F319" s="1167"/>
      <c r="G319" s="1167"/>
      <c r="H319" s="1167"/>
      <c r="I319" s="1167"/>
      <c r="J319" s="1167"/>
      <c r="K319" s="1167"/>
      <c r="L319" s="1167"/>
      <c r="M319" s="1167"/>
      <c r="N319" s="1167"/>
      <c r="O319" s="1167"/>
      <c r="P319" s="1167"/>
      <c r="Q319" s="1167"/>
      <c r="R319" s="1167"/>
    </row>
    <row r="320" spans="1:18">
      <c r="A320" s="1167"/>
      <c r="B320" s="1167"/>
      <c r="C320" s="1167"/>
      <c r="D320" s="1167"/>
      <c r="E320" s="1167"/>
      <c r="F320" s="1167"/>
      <c r="G320" s="1167"/>
      <c r="H320" s="1167"/>
      <c r="I320" s="1167"/>
      <c r="J320" s="1167"/>
      <c r="K320" s="1167"/>
      <c r="L320" s="1167"/>
      <c r="M320" s="1167"/>
      <c r="N320" s="1167"/>
      <c r="O320" s="1167"/>
      <c r="P320" s="1167"/>
      <c r="Q320" s="1167"/>
      <c r="R320" s="1167"/>
    </row>
    <row r="321" spans="1:18">
      <c r="A321" s="1167"/>
      <c r="B321" s="1167"/>
      <c r="C321" s="1167"/>
      <c r="D321" s="1167"/>
      <c r="E321" s="1167"/>
      <c r="F321" s="1167"/>
      <c r="G321" s="1167"/>
      <c r="H321" s="1167"/>
      <c r="I321" s="1167"/>
      <c r="J321" s="1167"/>
      <c r="K321" s="1167"/>
      <c r="L321" s="1167"/>
      <c r="M321" s="1167"/>
      <c r="N321" s="1167"/>
      <c r="O321" s="1167"/>
      <c r="P321" s="1167"/>
      <c r="Q321" s="1167"/>
      <c r="R321" s="1167"/>
    </row>
    <row r="322" spans="1:18">
      <c r="A322" s="1167"/>
      <c r="B322" s="1167"/>
      <c r="C322" s="1167"/>
      <c r="D322" s="1167"/>
      <c r="E322" s="1167"/>
      <c r="F322" s="1167"/>
      <c r="G322" s="1167"/>
      <c r="H322" s="1167"/>
      <c r="I322" s="1167"/>
      <c r="J322" s="1167"/>
      <c r="K322" s="1167"/>
      <c r="L322" s="1167"/>
      <c r="M322" s="1167"/>
      <c r="N322" s="1167"/>
      <c r="O322" s="1167"/>
      <c r="P322" s="1167"/>
      <c r="Q322" s="1167"/>
      <c r="R322" s="1167"/>
    </row>
    <row r="323" spans="1:18">
      <c r="A323" s="1167"/>
      <c r="B323" s="1167"/>
      <c r="C323" s="1167"/>
      <c r="D323" s="1167"/>
      <c r="E323" s="1167"/>
      <c r="F323" s="1167"/>
      <c r="G323" s="1167"/>
      <c r="H323" s="1167"/>
      <c r="I323" s="1167"/>
      <c r="J323" s="1167"/>
      <c r="K323" s="1167"/>
      <c r="L323" s="1167"/>
      <c r="M323" s="1167"/>
      <c r="N323" s="1167"/>
      <c r="O323" s="1167"/>
      <c r="P323" s="1167"/>
      <c r="Q323" s="1167"/>
      <c r="R323" s="1167"/>
    </row>
    <row r="324" spans="1:18">
      <c r="A324" s="1167"/>
      <c r="B324" s="1167"/>
      <c r="C324" s="1167"/>
      <c r="D324" s="1167"/>
      <c r="E324" s="1167"/>
      <c r="F324" s="1167"/>
      <c r="G324" s="1167"/>
      <c r="H324" s="1167"/>
      <c r="I324" s="1167"/>
      <c r="J324" s="1167"/>
      <c r="K324" s="1167"/>
      <c r="L324" s="1167"/>
      <c r="M324" s="1167"/>
      <c r="N324" s="1167"/>
      <c r="O324" s="1167"/>
      <c r="P324" s="1167"/>
      <c r="Q324" s="1167"/>
      <c r="R324" s="1167"/>
    </row>
    <row r="325" spans="1:18">
      <c r="A325" s="1167"/>
      <c r="B325" s="1167"/>
      <c r="C325" s="1167"/>
      <c r="D325" s="1167"/>
      <c r="E325" s="1167"/>
      <c r="F325" s="1167"/>
      <c r="G325" s="1167"/>
      <c r="H325" s="1167"/>
      <c r="I325" s="1167"/>
      <c r="J325" s="1167"/>
      <c r="K325" s="1167"/>
      <c r="L325" s="1167"/>
      <c r="M325" s="1167"/>
      <c r="N325" s="1167"/>
      <c r="O325" s="1167"/>
      <c r="P325" s="1167"/>
      <c r="Q325" s="1167"/>
      <c r="R325" s="1167"/>
    </row>
    <row r="326" spans="1:18">
      <c r="A326" s="1167"/>
      <c r="B326" s="1167"/>
      <c r="C326" s="1167"/>
      <c r="D326" s="1167"/>
      <c r="E326" s="1167"/>
      <c r="F326" s="1167"/>
      <c r="G326" s="1167"/>
      <c r="H326" s="1167"/>
      <c r="I326" s="1167"/>
      <c r="J326" s="1167"/>
      <c r="K326" s="1167"/>
      <c r="L326" s="1167"/>
      <c r="M326" s="1167"/>
      <c r="N326" s="1167"/>
      <c r="O326" s="1167"/>
      <c r="P326" s="1167"/>
      <c r="Q326" s="1167"/>
      <c r="R326" s="1167"/>
    </row>
    <row r="327" spans="1:18">
      <c r="A327" s="1167"/>
      <c r="B327" s="1167"/>
      <c r="C327" s="1167"/>
      <c r="D327" s="1167"/>
      <c r="E327" s="1167"/>
      <c r="F327" s="1167"/>
      <c r="G327" s="1167"/>
      <c r="H327" s="1167"/>
      <c r="I327" s="1167"/>
      <c r="J327" s="1167"/>
      <c r="K327" s="1167"/>
      <c r="L327" s="1167"/>
      <c r="M327" s="1167"/>
      <c r="N327" s="1167"/>
      <c r="O327" s="1167"/>
      <c r="P327" s="1167"/>
      <c r="Q327" s="1167"/>
      <c r="R327" s="1167"/>
    </row>
    <row r="328" spans="1:18">
      <c r="A328" s="1167"/>
      <c r="B328" s="1167"/>
      <c r="C328" s="1167"/>
      <c r="D328" s="1167"/>
      <c r="E328" s="1167"/>
      <c r="F328" s="1167"/>
      <c r="G328" s="1167"/>
      <c r="H328" s="1167"/>
      <c r="I328" s="1167"/>
      <c r="J328" s="1167"/>
      <c r="K328" s="1167"/>
      <c r="L328" s="1167"/>
      <c r="M328" s="1167"/>
      <c r="N328" s="1167"/>
      <c r="O328" s="1167"/>
      <c r="P328" s="1167"/>
      <c r="Q328" s="1167"/>
      <c r="R328" s="1167"/>
    </row>
    <row r="329" spans="1:18">
      <c r="A329" s="1167"/>
      <c r="B329" s="1167"/>
      <c r="C329" s="1167"/>
      <c r="D329" s="1167"/>
      <c r="E329" s="1167"/>
      <c r="F329" s="1167"/>
      <c r="G329" s="1167"/>
      <c r="H329" s="1167"/>
      <c r="I329" s="1167"/>
      <c r="J329" s="1167"/>
      <c r="K329" s="1167"/>
      <c r="L329" s="1167"/>
      <c r="M329" s="1167"/>
      <c r="N329" s="1167"/>
      <c r="O329" s="1167"/>
      <c r="P329" s="1167"/>
      <c r="Q329" s="1167"/>
      <c r="R329" s="1167"/>
    </row>
    <row r="330" spans="1:18">
      <c r="A330" s="1167"/>
      <c r="B330" s="1167"/>
      <c r="C330" s="1167"/>
      <c r="D330" s="1167"/>
      <c r="E330" s="1167"/>
      <c r="F330" s="1167"/>
      <c r="G330" s="1167"/>
      <c r="H330" s="1167"/>
      <c r="I330" s="1167"/>
      <c r="J330" s="1167"/>
      <c r="K330" s="1167"/>
      <c r="L330" s="1167"/>
      <c r="M330" s="1167"/>
      <c r="N330" s="1167"/>
      <c r="O330" s="1167"/>
      <c r="P330" s="1167"/>
      <c r="Q330" s="1167"/>
      <c r="R330" s="1167"/>
    </row>
    <row r="331" spans="1:18">
      <c r="A331" s="1167"/>
      <c r="B331" s="1167"/>
      <c r="C331" s="1167"/>
      <c r="D331" s="1167"/>
      <c r="E331" s="1167"/>
      <c r="F331" s="1167"/>
      <c r="G331" s="1167"/>
      <c r="H331" s="1167"/>
      <c r="I331" s="1167"/>
      <c r="J331" s="1167"/>
      <c r="K331" s="1167"/>
      <c r="L331" s="1167"/>
      <c r="M331" s="1167"/>
      <c r="N331" s="1167"/>
      <c r="O331" s="1167"/>
      <c r="P331" s="1167"/>
      <c r="Q331" s="1167"/>
      <c r="R331" s="1167"/>
    </row>
    <row r="332" spans="1:18">
      <c r="A332" s="1167"/>
      <c r="B332" s="1167"/>
      <c r="C332" s="1167"/>
      <c r="D332" s="1167"/>
      <c r="E332" s="1167"/>
      <c r="F332" s="1167"/>
      <c r="G332" s="1167"/>
      <c r="H332" s="1167"/>
      <c r="I332" s="1167"/>
      <c r="J332" s="1167"/>
      <c r="K332" s="1167"/>
      <c r="L332" s="1167"/>
      <c r="M332" s="1167"/>
      <c r="N332" s="1167"/>
      <c r="O332" s="1167"/>
      <c r="P332" s="1167"/>
      <c r="Q332" s="1167"/>
      <c r="R332" s="1167"/>
    </row>
    <row r="333" spans="1:18">
      <c r="A333" s="1167"/>
      <c r="B333" s="1167"/>
      <c r="C333" s="1167"/>
      <c r="D333" s="1167"/>
      <c r="E333" s="1167"/>
      <c r="F333" s="1167"/>
      <c r="G333" s="1167"/>
      <c r="H333" s="1167"/>
      <c r="I333" s="1167"/>
      <c r="J333" s="1167"/>
      <c r="K333" s="1167"/>
      <c r="L333" s="1167"/>
      <c r="M333" s="1167"/>
      <c r="N333" s="1167"/>
      <c r="O333" s="1167"/>
      <c r="P333" s="1167"/>
      <c r="Q333" s="1167"/>
      <c r="R333" s="1167"/>
    </row>
    <row r="334" spans="1:18">
      <c r="A334" s="1167"/>
      <c r="B334" s="1167"/>
      <c r="C334" s="1167"/>
      <c r="D334" s="1167"/>
      <c r="E334" s="1167"/>
      <c r="F334" s="1167"/>
      <c r="G334" s="1167"/>
      <c r="H334" s="1167"/>
      <c r="I334" s="1167"/>
      <c r="J334" s="1167"/>
      <c r="K334" s="1167"/>
      <c r="L334" s="1167"/>
      <c r="M334" s="1167"/>
      <c r="N334" s="1167"/>
      <c r="O334" s="1167"/>
      <c r="P334" s="1167"/>
      <c r="Q334" s="1167"/>
      <c r="R334" s="1167"/>
    </row>
    <row r="335" spans="1:18">
      <c r="A335" s="1167"/>
      <c r="B335" s="1167"/>
      <c r="C335" s="1167"/>
      <c r="D335" s="1167"/>
      <c r="E335" s="1167"/>
      <c r="F335" s="1167"/>
      <c r="G335" s="1167"/>
      <c r="H335" s="1167"/>
      <c r="I335" s="1167"/>
      <c r="J335" s="1167"/>
      <c r="K335" s="1167"/>
      <c r="L335" s="1167"/>
      <c r="M335" s="1167"/>
      <c r="N335" s="1167"/>
      <c r="O335" s="1167"/>
      <c r="P335" s="1167"/>
      <c r="Q335" s="1167"/>
      <c r="R335" s="1167"/>
    </row>
    <row r="336" spans="1:18">
      <c r="A336" s="1167"/>
      <c r="B336" s="1167"/>
      <c r="C336" s="1167"/>
      <c r="D336" s="1167"/>
      <c r="E336" s="1167"/>
      <c r="F336" s="1167"/>
      <c r="G336" s="1167"/>
      <c r="H336" s="1167"/>
      <c r="I336" s="1167"/>
      <c r="J336" s="1167"/>
      <c r="K336" s="1167"/>
      <c r="L336" s="1167"/>
      <c r="M336" s="1167"/>
      <c r="N336" s="1167"/>
      <c r="O336" s="1167"/>
      <c r="P336" s="1167"/>
      <c r="Q336" s="1167"/>
      <c r="R336" s="1167"/>
    </row>
    <row r="337" spans="1:18">
      <c r="A337" s="1167"/>
      <c r="B337" s="1167"/>
      <c r="C337" s="1167"/>
      <c r="D337" s="1167"/>
      <c r="E337" s="1167"/>
      <c r="F337" s="1167"/>
      <c r="G337" s="1167"/>
      <c r="H337" s="1167"/>
      <c r="I337" s="1167"/>
      <c r="J337" s="1167"/>
      <c r="K337" s="1167"/>
      <c r="L337" s="1167"/>
      <c r="M337" s="1167"/>
      <c r="N337" s="1167"/>
      <c r="O337" s="1167"/>
      <c r="P337" s="1167"/>
      <c r="Q337" s="1167"/>
      <c r="R337" s="1167"/>
    </row>
    <row r="338" spans="1:18">
      <c r="A338" s="1167"/>
      <c r="B338" s="1167"/>
      <c r="C338" s="1167"/>
      <c r="D338" s="1167"/>
      <c r="E338" s="1167"/>
      <c r="F338" s="1167"/>
      <c r="G338" s="1167"/>
      <c r="H338" s="1167"/>
      <c r="I338" s="1167"/>
      <c r="J338" s="1167"/>
      <c r="K338" s="1167"/>
      <c r="L338" s="1167"/>
      <c r="M338" s="1167"/>
      <c r="N338" s="1167"/>
      <c r="O338" s="1167"/>
      <c r="P338" s="1167"/>
      <c r="Q338" s="1167"/>
      <c r="R338" s="1167"/>
    </row>
    <row r="339" spans="1:18">
      <c r="A339" s="1167"/>
      <c r="B339" s="1167"/>
      <c r="C339" s="1167"/>
      <c r="D339" s="1167"/>
      <c r="E339" s="1167"/>
      <c r="F339" s="1167"/>
      <c r="G339" s="1167"/>
      <c r="H339" s="1167"/>
      <c r="I339" s="1167"/>
      <c r="J339" s="1167"/>
      <c r="K339" s="1167"/>
      <c r="L339" s="1167"/>
      <c r="M339" s="1167"/>
      <c r="N339" s="1167"/>
      <c r="O339" s="1167"/>
      <c r="P339" s="1167"/>
      <c r="Q339" s="1167"/>
      <c r="R339" s="1167"/>
    </row>
    <row r="340" spans="1:18">
      <c r="A340" s="1167"/>
      <c r="B340" s="1167"/>
      <c r="C340" s="1167"/>
      <c r="D340" s="1167"/>
      <c r="E340" s="1167"/>
      <c r="F340" s="1167"/>
      <c r="G340" s="1167"/>
      <c r="H340" s="1167"/>
      <c r="I340" s="1167"/>
      <c r="J340" s="1167"/>
      <c r="K340" s="1167"/>
      <c r="L340" s="1167"/>
      <c r="M340" s="1167"/>
      <c r="N340" s="1167"/>
      <c r="O340" s="1167"/>
      <c r="P340" s="1167"/>
      <c r="Q340" s="1167"/>
      <c r="R340" s="1167"/>
    </row>
    <row r="341" spans="1:18">
      <c r="A341" s="1167"/>
      <c r="B341" s="1167"/>
      <c r="C341" s="1167"/>
      <c r="D341" s="1167"/>
      <c r="E341" s="1167"/>
      <c r="F341" s="1167"/>
      <c r="G341" s="1167"/>
      <c r="H341" s="1167"/>
      <c r="I341" s="1167"/>
      <c r="J341" s="1167"/>
      <c r="K341" s="1167"/>
      <c r="L341" s="1167"/>
      <c r="M341" s="1167"/>
      <c r="N341" s="1167"/>
      <c r="O341" s="1167"/>
      <c r="P341" s="1167"/>
      <c r="Q341" s="1167"/>
      <c r="R341" s="1167"/>
    </row>
    <row r="342" spans="1:18">
      <c r="A342" s="1167"/>
      <c r="B342" s="1167"/>
      <c r="C342" s="1167"/>
      <c r="D342" s="1167"/>
      <c r="E342" s="1167"/>
      <c r="F342" s="1167"/>
      <c r="G342" s="1167"/>
      <c r="H342" s="1167"/>
      <c r="I342" s="1167"/>
      <c r="J342" s="1167"/>
      <c r="K342" s="1167"/>
      <c r="L342" s="1167"/>
      <c r="M342" s="1167"/>
      <c r="N342" s="1167"/>
      <c r="O342" s="1167"/>
      <c r="P342" s="1167"/>
      <c r="Q342" s="1167"/>
      <c r="R342" s="1167"/>
    </row>
    <row r="343" spans="1:18">
      <c r="A343" s="1167"/>
      <c r="B343" s="1167"/>
      <c r="C343" s="1167"/>
      <c r="D343" s="1167"/>
      <c r="E343" s="1167"/>
      <c r="F343" s="1167"/>
      <c r="G343" s="1167"/>
      <c r="H343" s="1167"/>
      <c r="I343" s="1167"/>
      <c r="J343" s="1167"/>
      <c r="K343" s="1167"/>
      <c r="L343" s="1167"/>
      <c r="M343" s="1167"/>
      <c r="N343" s="1167"/>
      <c r="O343" s="1167"/>
      <c r="P343" s="1167"/>
      <c r="Q343" s="1167"/>
      <c r="R343" s="1167"/>
    </row>
    <row r="344" spans="1:18">
      <c r="A344" s="1167"/>
      <c r="B344" s="1167"/>
      <c r="C344" s="1167"/>
      <c r="D344" s="1167"/>
      <c r="E344" s="1167"/>
      <c r="F344" s="1167"/>
      <c r="G344" s="1167"/>
      <c r="H344" s="1167"/>
      <c r="I344" s="1167"/>
      <c r="J344" s="1167"/>
      <c r="K344" s="1167"/>
      <c r="L344" s="1167"/>
      <c r="M344" s="1167"/>
      <c r="N344" s="1167"/>
      <c r="O344" s="1167"/>
      <c r="P344" s="1167"/>
      <c r="Q344" s="1167"/>
      <c r="R344" s="1167"/>
    </row>
    <row r="345" spans="1:18">
      <c r="A345" s="1167"/>
      <c r="B345" s="1167"/>
      <c r="C345" s="1167"/>
      <c r="D345" s="1167"/>
      <c r="E345" s="1167"/>
      <c r="F345" s="1167"/>
      <c r="G345" s="1167"/>
      <c r="H345" s="1167"/>
      <c r="I345" s="1167"/>
      <c r="J345" s="1167"/>
      <c r="K345" s="1167"/>
      <c r="L345" s="1167"/>
      <c r="M345" s="1167"/>
      <c r="N345" s="1167"/>
      <c r="O345" s="1167"/>
      <c r="P345" s="1167"/>
      <c r="Q345" s="1167"/>
      <c r="R345" s="1167"/>
    </row>
  </sheetData>
  <mergeCells count="13">
    <mergeCell ref="D27:M34"/>
    <mergeCell ref="B12:C26"/>
    <mergeCell ref="D12:M12"/>
    <mergeCell ref="D13:M14"/>
    <mergeCell ref="D15:M16"/>
    <mergeCell ref="D17:M19"/>
    <mergeCell ref="B11:P11"/>
    <mergeCell ref="E2:K2"/>
    <mergeCell ref="E4:K4"/>
    <mergeCell ref="D20:M21"/>
    <mergeCell ref="D22:M24"/>
    <mergeCell ref="C8:O8"/>
    <mergeCell ref="C9:O9"/>
  </mergeCells>
  <pageMargins left="0.75" right="0.75" top="1" bottom="1" header="0.5" footer="0.5"/>
  <pageSetup scale="62" orientation="portrait" r:id="rId1"/>
  <headerFooter alignWithMargins="0"/>
  <colBreaks count="1" manualBreakCount="1">
    <brk id="12" max="1048575" man="1"/>
  </colBreaks>
  <legacyDrawing r:id="rId2"/>
</worksheet>
</file>

<file path=xl/worksheets/sheet7.xml><?xml version="1.0" encoding="utf-8"?>
<worksheet xmlns="http://schemas.openxmlformats.org/spreadsheetml/2006/main" xmlns:r="http://schemas.openxmlformats.org/officeDocument/2006/relationships">
  <sheetPr codeName="Sheet18">
    <pageSetUpPr fitToPage="1"/>
  </sheetPr>
  <dimension ref="A1:P429"/>
  <sheetViews>
    <sheetView showGridLines="0" topLeftCell="A13" zoomScaleNormal="100" workbookViewId="0">
      <selection activeCell="C64" sqref="C64"/>
    </sheetView>
  </sheetViews>
  <sheetFormatPr defaultRowHeight="15.75"/>
  <cols>
    <col min="1" max="2" width="9.140625" style="13"/>
    <col min="3" max="3" width="35.7109375" style="13" customWidth="1"/>
    <col min="4" max="4" width="6.28515625" style="13" customWidth="1"/>
    <col min="5" max="5" width="10.85546875" style="13" customWidth="1"/>
    <col min="6" max="6" width="13.7109375" style="13" customWidth="1"/>
    <col min="7" max="7" width="18.28515625" style="13" customWidth="1"/>
    <col min="8" max="8" width="16.7109375" style="13" customWidth="1"/>
    <col min="9" max="9" width="14.5703125" style="178" customWidth="1"/>
    <col min="10" max="16384" width="9.140625" style="13"/>
  </cols>
  <sheetData>
    <row r="1" spans="1:9">
      <c r="A1" s="23"/>
      <c r="B1" s="460"/>
      <c r="C1" s="460"/>
      <c r="D1" s="460"/>
      <c r="E1" s="460"/>
      <c r="F1" s="460"/>
      <c r="G1" s="1440" t="s">
        <v>229</v>
      </c>
      <c r="H1" s="460"/>
      <c r="I1" s="1441"/>
    </row>
    <row r="2" spans="1:9">
      <c r="A2" s="23"/>
      <c r="B2" s="460"/>
      <c r="C2" s="23"/>
      <c r="D2" s="23"/>
      <c r="E2" s="23"/>
      <c r="F2" s="23"/>
      <c r="G2" s="23"/>
      <c r="H2" s="1266"/>
      <c r="I2" s="1442"/>
    </row>
    <row r="3" spans="1:9">
      <c r="A3" s="23"/>
      <c r="B3" s="460"/>
      <c r="C3" s="1920" t="str">
        <f>Utility</f>
        <v>MADISON WATER UTILITY</v>
      </c>
      <c r="D3" s="1921"/>
      <c r="E3" s="1921"/>
      <c r="F3" s="1921"/>
      <c r="G3" s="1921"/>
      <c r="H3" s="460"/>
      <c r="I3" s="1441"/>
    </row>
    <row r="4" spans="1:9">
      <c r="A4" s="23"/>
      <c r="B4" s="460"/>
      <c r="C4" s="1443" t="s">
        <v>230</v>
      </c>
      <c r="D4" s="460"/>
      <c r="E4" s="460"/>
      <c r="F4" s="460"/>
      <c r="G4" s="460"/>
      <c r="H4" s="460"/>
      <c r="I4" s="1441"/>
    </row>
    <row r="5" spans="1:9">
      <c r="A5" s="23"/>
      <c r="B5" s="460"/>
      <c r="C5" s="1922" t="s">
        <v>231</v>
      </c>
      <c r="D5" s="1922"/>
      <c r="E5" s="1922"/>
      <c r="F5" s="1922"/>
      <c r="G5" s="1922"/>
      <c r="H5" s="460"/>
      <c r="I5" s="1441"/>
    </row>
    <row r="6" spans="1:9" ht="16.5" thickBot="1">
      <c r="A6" s="23"/>
      <c r="B6" s="460"/>
      <c r="C6" s="1444"/>
      <c r="D6" s="1444"/>
      <c r="E6" s="1444"/>
      <c r="F6" s="1444"/>
      <c r="G6" s="1444"/>
      <c r="H6" s="460"/>
      <c r="I6" s="1441"/>
    </row>
    <row r="7" spans="1:9" ht="15.75" customHeight="1" thickTop="1">
      <c r="A7" s="23"/>
      <c r="B7" s="1188"/>
      <c r="C7" s="1189" t="s">
        <v>232</v>
      </c>
      <c r="D7" s="1190"/>
      <c r="E7" s="1190"/>
      <c r="F7" s="1190"/>
      <c r="G7" s="1190"/>
      <c r="H7" s="1191"/>
      <c r="I7" s="1441"/>
    </row>
    <row r="8" spans="1:9" ht="18" customHeight="1">
      <c r="A8" s="23"/>
      <c r="B8" s="1192"/>
      <c r="C8" s="175" t="s">
        <v>1011</v>
      </c>
      <c r="D8" s="514"/>
      <c r="E8" s="514"/>
      <c r="F8" s="514"/>
      <c r="G8" s="514"/>
      <c r="H8" s="1193"/>
      <c r="I8" s="1441"/>
    </row>
    <row r="9" spans="1:9" ht="14.25" customHeight="1">
      <c r="A9" s="23"/>
      <c r="B9" s="1192"/>
      <c r="C9" s="1194"/>
      <c r="D9" s="1136"/>
      <c r="E9" s="1136"/>
      <c r="F9" s="514"/>
      <c r="G9" s="514"/>
      <c r="H9" s="1193"/>
      <c r="I9" s="1441"/>
    </row>
    <row r="10" spans="1:9" ht="54.95" customHeight="1">
      <c r="A10" s="23"/>
      <c r="B10" s="1192"/>
      <c r="C10" s="1923" t="s">
        <v>933</v>
      </c>
      <c r="D10" s="1923"/>
      <c r="E10" s="1923"/>
      <c r="F10" s="1923"/>
      <c r="G10" s="1923"/>
      <c r="H10" s="1193"/>
      <c r="I10" s="1441"/>
    </row>
    <row r="11" spans="1:9" ht="15.75" customHeight="1">
      <c r="A11" s="23"/>
      <c r="B11" s="1192"/>
      <c r="C11" s="983" t="s">
        <v>233</v>
      </c>
      <c r="D11" s="983"/>
      <c r="E11" s="983"/>
      <c r="F11" s="983"/>
      <c r="G11" s="983"/>
      <c r="H11" s="1193"/>
      <c r="I11" s="1441"/>
    </row>
    <row r="12" spans="1:9">
      <c r="A12" s="23"/>
      <c r="B12" s="1192"/>
      <c r="C12" s="514"/>
      <c r="D12" s="514"/>
      <c r="E12" s="514"/>
      <c r="F12" s="514"/>
      <c r="G12" s="514"/>
      <c r="H12" s="1193"/>
      <c r="I12" s="1441"/>
    </row>
    <row r="13" spans="1:9" ht="37.5" customHeight="1">
      <c r="A13" s="23"/>
      <c r="B13" s="1192"/>
      <c r="C13" s="1924" t="s">
        <v>234</v>
      </c>
      <c r="D13" s="1925"/>
      <c r="E13" s="1925"/>
      <c r="F13" s="1925"/>
      <c r="G13" s="1926"/>
      <c r="H13" s="1193"/>
      <c r="I13" s="1441"/>
    </row>
    <row r="14" spans="1:9" ht="28.9" customHeight="1">
      <c r="A14" s="23"/>
      <c r="B14" s="1192"/>
      <c r="C14" s="1195" t="s">
        <v>235</v>
      </c>
      <c r="D14" s="1195" t="s">
        <v>7</v>
      </c>
      <c r="E14" s="1195" t="s">
        <v>236</v>
      </c>
      <c r="F14" s="1195" t="s">
        <v>237</v>
      </c>
      <c r="G14" s="1195" t="s">
        <v>238</v>
      </c>
      <c r="H14" s="1193"/>
      <c r="I14" s="1441"/>
    </row>
    <row r="15" spans="1:9" ht="18" customHeight="1">
      <c r="A15" s="23"/>
      <c r="B15" s="1192"/>
      <c r="C15" s="1196" t="s">
        <v>916</v>
      </c>
      <c r="D15" s="1197" t="s">
        <v>239</v>
      </c>
      <c r="E15" s="176" t="s">
        <v>258</v>
      </c>
      <c r="F15" s="173">
        <v>41760</v>
      </c>
      <c r="G15" s="174">
        <v>732</v>
      </c>
      <c r="H15" s="1193"/>
      <c r="I15" s="1441"/>
    </row>
    <row r="16" spans="1:9" ht="18" customHeight="1">
      <c r="A16" s="23"/>
      <c r="B16" s="1192"/>
      <c r="C16" s="1196" t="s">
        <v>917</v>
      </c>
      <c r="D16" s="1197" t="s">
        <v>239</v>
      </c>
      <c r="E16" s="176" t="s">
        <v>258</v>
      </c>
      <c r="F16" s="173">
        <v>41579</v>
      </c>
      <c r="G16" s="174">
        <v>703</v>
      </c>
      <c r="H16" s="1193"/>
      <c r="I16" s="1441"/>
    </row>
    <row r="17" spans="1:16" ht="18" customHeight="1">
      <c r="A17" s="23"/>
      <c r="B17" s="1192"/>
      <c r="C17" s="1196" t="s">
        <v>918</v>
      </c>
      <c r="D17" s="1197" t="s">
        <v>239</v>
      </c>
      <c r="E17" s="176" t="s">
        <v>258</v>
      </c>
      <c r="F17" s="173">
        <v>41548</v>
      </c>
      <c r="G17" s="174">
        <v>679</v>
      </c>
      <c r="H17" s="1193"/>
      <c r="I17" s="1441"/>
      <c r="P17" s="1603"/>
    </row>
    <row r="18" spans="1:16" ht="18" customHeight="1">
      <c r="A18" s="23"/>
      <c r="B18" s="1192"/>
      <c r="C18" s="1196" t="s">
        <v>919</v>
      </c>
      <c r="D18" s="1197" t="s">
        <v>239</v>
      </c>
      <c r="E18" s="176" t="s">
        <v>258</v>
      </c>
      <c r="F18" s="173">
        <v>41730</v>
      </c>
      <c r="G18" s="174">
        <v>644</v>
      </c>
      <c r="H18" s="1193"/>
      <c r="I18" s="1441"/>
      <c r="P18" s="1603"/>
    </row>
    <row r="19" spans="1:16" ht="18" customHeight="1">
      <c r="A19" s="23"/>
      <c r="B19" s="1192"/>
      <c r="C19" s="1201"/>
      <c r="D19" s="1197"/>
      <c r="E19" s="1198"/>
      <c r="F19" s="1199"/>
      <c r="G19" s="1200"/>
      <c r="H19" s="1193"/>
      <c r="I19" s="1441"/>
      <c r="P19" s="1603"/>
    </row>
    <row r="20" spans="1:16" ht="18" customHeight="1">
      <c r="A20" s="23"/>
      <c r="B20" s="1192"/>
      <c r="C20" s="1196" t="s">
        <v>934</v>
      </c>
      <c r="D20" s="1202" t="s">
        <v>932</v>
      </c>
      <c r="E20" s="176" t="s">
        <v>262</v>
      </c>
      <c r="F20" s="173">
        <v>41640</v>
      </c>
      <c r="G20" s="174">
        <v>13783</v>
      </c>
      <c r="H20" s="1193"/>
      <c r="I20" s="1441"/>
      <c r="P20" s="1603"/>
    </row>
    <row r="21" spans="1:16" ht="18" customHeight="1">
      <c r="A21" s="23"/>
      <c r="B21" s="1192"/>
      <c r="C21" s="1196" t="s">
        <v>935</v>
      </c>
      <c r="D21" s="1202" t="s">
        <v>932</v>
      </c>
      <c r="E21" s="1477" t="s">
        <v>366</v>
      </c>
      <c r="F21" s="173">
        <v>41518</v>
      </c>
      <c r="G21" s="174">
        <v>13270</v>
      </c>
      <c r="H21" s="1193"/>
      <c r="I21" s="1441"/>
      <c r="P21" s="1603"/>
    </row>
    <row r="22" spans="1:16" ht="18" customHeight="1">
      <c r="A22" s="23"/>
      <c r="B22" s="1192"/>
      <c r="C22" s="1196" t="s">
        <v>936</v>
      </c>
      <c r="D22" s="1202" t="s">
        <v>932</v>
      </c>
      <c r="E22" s="176" t="s">
        <v>366</v>
      </c>
      <c r="F22" s="173">
        <v>41821</v>
      </c>
      <c r="G22" s="174">
        <v>12655</v>
      </c>
      <c r="H22" s="1193"/>
      <c r="I22" s="1441"/>
      <c r="P22" s="1603"/>
    </row>
    <row r="23" spans="1:16" ht="18" customHeight="1">
      <c r="A23" s="23"/>
      <c r="B23" s="1192"/>
      <c r="C23" s="1196" t="s">
        <v>937</v>
      </c>
      <c r="D23" s="1202" t="s">
        <v>932</v>
      </c>
      <c r="E23" s="176" t="s">
        <v>366</v>
      </c>
      <c r="F23" s="173">
        <v>41699</v>
      </c>
      <c r="G23" s="174">
        <v>11388</v>
      </c>
      <c r="H23" s="1193"/>
      <c r="I23" s="1441"/>
      <c r="P23" s="1603"/>
    </row>
    <row r="24" spans="1:16" ht="18" customHeight="1">
      <c r="A24" s="23"/>
      <c r="B24" s="1192"/>
      <c r="C24" s="1201"/>
      <c r="D24" s="1197"/>
      <c r="E24" s="1198"/>
      <c r="F24" s="1199"/>
      <c r="G24" s="1200"/>
      <c r="H24" s="1193"/>
      <c r="I24" s="1441"/>
      <c r="P24" s="1603"/>
    </row>
    <row r="25" spans="1:16" ht="18" customHeight="1">
      <c r="A25" s="23"/>
      <c r="B25" s="1192"/>
      <c r="C25" s="1196" t="s">
        <v>921</v>
      </c>
      <c r="D25" s="1197" t="s">
        <v>240</v>
      </c>
      <c r="E25" s="176" t="s">
        <v>367</v>
      </c>
      <c r="F25" s="173">
        <v>41609</v>
      </c>
      <c r="G25" s="174">
        <v>27342</v>
      </c>
      <c r="H25" s="1193"/>
      <c r="I25" s="1441"/>
      <c r="P25" s="1603"/>
    </row>
    <row r="26" spans="1:16" ht="18" customHeight="1">
      <c r="A26" s="23"/>
      <c r="B26" s="1192"/>
      <c r="C26" s="1196" t="s">
        <v>920</v>
      </c>
      <c r="D26" s="1197" t="s">
        <v>240</v>
      </c>
      <c r="E26" s="176" t="s">
        <v>366</v>
      </c>
      <c r="F26" s="1483">
        <v>41609</v>
      </c>
      <c r="G26" s="174">
        <v>24302</v>
      </c>
      <c r="H26" s="1193"/>
      <c r="I26" s="1441"/>
      <c r="P26" s="1603"/>
    </row>
    <row r="27" spans="1:16" ht="18" customHeight="1">
      <c r="A27" s="23"/>
      <c r="B27" s="1192"/>
      <c r="C27" s="1196" t="s">
        <v>922</v>
      </c>
      <c r="D27" s="1197" t="s">
        <v>240</v>
      </c>
      <c r="E27" s="176" t="s">
        <v>367</v>
      </c>
      <c r="F27" s="173">
        <v>41791</v>
      </c>
      <c r="G27" s="174">
        <v>22854</v>
      </c>
      <c r="H27" s="1193"/>
      <c r="I27" s="1441"/>
      <c r="P27" s="1603"/>
    </row>
    <row r="28" spans="1:16" ht="18" customHeight="1">
      <c r="A28" s="23"/>
      <c r="B28" s="1192"/>
      <c r="C28" s="1196" t="s">
        <v>923</v>
      </c>
      <c r="D28" s="1197" t="s">
        <v>240</v>
      </c>
      <c r="E28" s="176" t="s">
        <v>366</v>
      </c>
      <c r="F28" s="173">
        <v>41671</v>
      </c>
      <c r="G28" s="174">
        <v>18652</v>
      </c>
      <c r="H28" s="1193"/>
      <c r="I28" s="1441"/>
      <c r="P28" s="1603"/>
    </row>
    <row r="29" spans="1:16" ht="18" customHeight="1">
      <c r="A29" s="23"/>
      <c r="B29" s="1192"/>
      <c r="C29" s="1201"/>
      <c r="D29" s="1197"/>
      <c r="E29" s="1198"/>
      <c r="F29" s="1199"/>
      <c r="G29" s="1200"/>
      <c r="H29" s="1193"/>
      <c r="I29" s="1441"/>
      <c r="P29" s="1603"/>
    </row>
    <row r="30" spans="1:16" ht="18" customHeight="1">
      <c r="A30" s="23"/>
      <c r="B30" s="1192"/>
      <c r="C30" s="1196" t="s">
        <v>924</v>
      </c>
      <c r="D30" s="1197" t="s">
        <v>241</v>
      </c>
      <c r="E30" s="176" t="s">
        <v>367</v>
      </c>
      <c r="F30" s="173">
        <v>41487</v>
      </c>
      <c r="G30" s="174">
        <v>37000</v>
      </c>
      <c r="H30" s="1193"/>
      <c r="I30" s="1441"/>
    </row>
    <row r="31" spans="1:16" ht="18" customHeight="1">
      <c r="A31" s="23"/>
      <c r="B31" s="1192"/>
      <c r="C31" s="1196" t="s">
        <v>925</v>
      </c>
      <c r="D31" s="1197" t="s">
        <v>241</v>
      </c>
      <c r="E31" s="176" t="s">
        <v>366</v>
      </c>
      <c r="F31" s="173">
        <v>41518</v>
      </c>
      <c r="G31" s="174">
        <v>29800</v>
      </c>
      <c r="H31" s="1193"/>
      <c r="I31" s="1441"/>
    </row>
    <row r="32" spans="1:16" ht="18" customHeight="1">
      <c r="A32" s="23"/>
      <c r="B32" s="1192"/>
      <c r="C32" s="1196" t="s">
        <v>926</v>
      </c>
      <c r="D32" s="1197" t="s">
        <v>241</v>
      </c>
      <c r="E32" s="176" t="s">
        <v>367</v>
      </c>
      <c r="F32" s="173">
        <v>41518</v>
      </c>
      <c r="G32" s="174">
        <v>29717</v>
      </c>
      <c r="H32" s="1193"/>
      <c r="I32" s="1441"/>
    </row>
    <row r="33" spans="1:9" ht="18" customHeight="1">
      <c r="A33" s="23"/>
      <c r="B33" s="1192"/>
      <c r="C33" s="1196" t="s">
        <v>927</v>
      </c>
      <c r="D33" s="1197" t="s">
        <v>241</v>
      </c>
      <c r="E33" s="176" t="s">
        <v>366</v>
      </c>
      <c r="F33" s="173">
        <v>41699</v>
      </c>
      <c r="G33" s="174">
        <v>27068</v>
      </c>
      <c r="H33" s="1193"/>
      <c r="I33" s="1441"/>
    </row>
    <row r="34" spans="1:9" ht="18" customHeight="1">
      <c r="A34" s="23"/>
      <c r="B34" s="1192"/>
      <c r="C34" s="1201"/>
      <c r="D34" s="1197"/>
      <c r="E34" s="1198"/>
      <c r="F34" s="1199"/>
      <c r="G34" s="1200"/>
      <c r="H34" s="1193"/>
      <c r="I34" s="1441"/>
    </row>
    <row r="35" spans="1:9" ht="18" customHeight="1">
      <c r="A35" s="23"/>
      <c r="B35" s="1192"/>
      <c r="C35" s="1196" t="s">
        <v>928</v>
      </c>
      <c r="D35" s="1197" t="s">
        <v>242</v>
      </c>
      <c r="E35" s="176" t="s">
        <v>367</v>
      </c>
      <c r="F35" s="173">
        <v>41548</v>
      </c>
      <c r="G35" s="174">
        <v>49072</v>
      </c>
      <c r="H35" s="1193"/>
      <c r="I35" s="1441"/>
    </row>
    <row r="36" spans="1:9" ht="18" customHeight="1">
      <c r="A36" s="23"/>
      <c r="B36" s="1192"/>
      <c r="C36" s="1196" t="s">
        <v>929</v>
      </c>
      <c r="D36" s="1197" t="s">
        <v>242</v>
      </c>
      <c r="E36" s="176" t="s">
        <v>367</v>
      </c>
      <c r="F36" s="173">
        <v>41699</v>
      </c>
      <c r="G36" s="174">
        <v>43067</v>
      </c>
      <c r="H36" s="1193"/>
      <c r="I36" s="1441"/>
    </row>
    <row r="37" spans="1:9" ht="18" customHeight="1">
      <c r="A37" s="23"/>
      <c r="B37" s="1192"/>
      <c r="C37" s="1196" t="s">
        <v>931</v>
      </c>
      <c r="D37" s="1197" t="s">
        <v>242</v>
      </c>
      <c r="E37" s="176" t="s">
        <v>366</v>
      </c>
      <c r="F37" s="173">
        <v>41730</v>
      </c>
      <c r="G37" s="174">
        <v>41556</v>
      </c>
      <c r="H37" s="1193"/>
      <c r="I37" s="1441"/>
    </row>
    <row r="38" spans="1:9" ht="18" customHeight="1">
      <c r="A38" s="23"/>
      <c r="B38" s="1192"/>
      <c r="C38" s="1196" t="s">
        <v>930</v>
      </c>
      <c r="D38" s="1197" t="s">
        <v>242</v>
      </c>
      <c r="E38" s="176" t="s">
        <v>366</v>
      </c>
      <c r="F38" s="173">
        <v>41548</v>
      </c>
      <c r="G38" s="174">
        <v>40064</v>
      </c>
      <c r="H38" s="1193"/>
      <c r="I38" s="1441"/>
    </row>
    <row r="39" spans="1:9" ht="18" customHeight="1">
      <c r="A39" s="23"/>
      <c r="B39" s="1192"/>
      <c r="C39" s="1201"/>
      <c r="D39" s="1197"/>
      <c r="E39" s="1198"/>
      <c r="F39" s="1199"/>
      <c r="G39" s="1200"/>
      <c r="H39" s="1193"/>
      <c r="I39" s="1441"/>
    </row>
    <row r="40" spans="1:9" ht="18" customHeight="1">
      <c r="A40" s="23"/>
      <c r="B40" s="1192"/>
      <c r="C40" s="1196" t="s">
        <v>1035</v>
      </c>
      <c r="D40" s="1202" t="s">
        <v>940</v>
      </c>
      <c r="E40" s="176"/>
      <c r="F40" s="173"/>
      <c r="G40" s="174"/>
      <c r="H40" s="1193"/>
      <c r="I40" s="1441"/>
    </row>
    <row r="41" spans="1:9" ht="18" customHeight="1">
      <c r="A41" s="23"/>
      <c r="B41" s="1192"/>
      <c r="C41" s="1196" t="s">
        <v>1036</v>
      </c>
      <c r="D41" s="1202" t="s">
        <v>940</v>
      </c>
      <c r="E41" s="176"/>
      <c r="F41" s="173"/>
      <c r="G41" s="174"/>
      <c r="H41" s="1193"/>
      <c r="I41" s="1441"/>
    </row>
    <row r="42" spans="1:9" ht="18" customHeight="1">
      <c r="A42" s="23"/>
      <c r="B42" s="1192"/>
      <c r="C42" s="1196" t="s">
        <v>1037</v>
      </c>
      <c r="D42" s="1202" t="s">
        <v>940</v>
      </c>
      <c r="E42" s="176"/>
      <c r="F42" s="173"/>
      <c r="G42" s="174"/>
      <c r="H42" s="1193"/>
      <c r="I42" s="1441"/>
    </row>
    <row r="43" spans="1:9" ht="18" customHeight="1">
      <c r="A43" s="23"/>
      <c r="B43" s="1192"/>
      <c r="C43" s="1196" t="s">
        <v>1038</v>
      </c>
      <c r="D43" s="1202" t="s">
        <v>940</v>
      </c>
      <c r="E43" s="176"/>
      <c r="F43" s="173"/>
      <c r="G43" s="174"/>
      <c r="H43" s="1193"/>
      <c r="I43" s="1441"/>
    </row>
    <row r="44" spans="1:9" ht="16.5" thickBot="1">
      <c r="A44" s="23"/>
      <c r="B44" s="1203"/>
      <c r="C44" s="1204"/>
      <c r="D44" s="1204"/>
      <c r="E44" s="1204"/>
      <c r="F44" s="1204"/>
      <c r="G44" s="1204"/>
      <c r="H44" s="1205"/>
      <c r="I44" s="1441"/>
    </row>
    <row r="45" spans="1:9" ht="16.5" thickTop="1">
      <c r="A45" s="23"/>
      <c r="B45" s="1441"/>
      <c r="C45" s="1441"/>
      <c r="D45" s="1441"/>
      <c r="E45" s="1441"/>
      <c r="F45" s="1441"/>
      <c r="G45" s="1441"/>
      <c r="H45" s="1441"/>
      <c r="I45" s="1441"/>
    </row>
    <row r="46" spans="1:9">
      <c r="A46" s="23"/>
      <c r="B46" s="460"/>
      <c r="C46" s="1443" t="s">
        <v>243</v>
      </c>
      <c r="D46" s="460"/>
      <c r="E46" s="460"/>
      <c r="F46" s="460"/>
      <c r="G46" s="460"/>
      <c r="H46" s="1441"/>
      <c r="I46" s="1441"/>
    </row>
    <row r="47" spans="1:9">
      <c r="A47" s="23"/>
      <c r="B47" s="460"/>
      <c r="C47" s="1177" t="s">
        <v>244</v>
      </c>
      <c r="D47" s="460"/>
      <c r="E47" s="460"/>
      <c r="F47" s="460"/>
      <c r="G47" s="1445"/>
      <c r="H47" s="1441"/>
      <c r="I47" s="1441"/>
    </row>
    <row r="48" spans="1:9" ht="16.5" thickBot="1">
      <c r="A48" s="23"/>
      <c r="B48" s="1445"/>
      <c r="C48" s="460"/>
      <c r="D48" s="460"/>
      <c r="E48" s="460"/>
      <c r="F48" s="460"/>
      <c r="G48" s="1445"/>
      <c r="H48" s="23"/>
      <c r="I48" s="23"/>
    </row>
    <row r="49" spans="1:9" ht="16.5" thickTop="1">
      <c r="A49" s="23"/>
      <c r="B49" s="1206"/>
      <c r="C49" s="1207" t="s">
        <v>245</v>
      </c>
      <c r="D49" s="1190"/>
      <c r="E49" s="1208"/>
      <c r="F49" s="1208"/>
      <c r="G49" s="1208"/>
      <c r="H49" s="1209"/>
      <c r="I49" s="23"/>
    </row>
    <row r="50" spans="1:9">
      <c r="A50" s="23"/>
      <c r="B50" s="1210"/>
      <c r="C50" s="1806" t="s">
        <v>1315</v>
      </c>
      <c r="D50" s="1129"/>
      <c r="E50" s="1129"/>
      <c r="F50" s="1129"/>
      <c r="G50" s="1129"/>
      <c r="H50" s="1211"/>
      <c r="I50" s="23"/>
    </row>
    <row r="51" spans="1:9">
      <c r="A51" s="23"/>
      <c r="B51" s="1210"/>
      <c r="C51" s="1129"/>
      <c r="D51" s="1129"/>
      <c r="E51" s="1129"/>
      <c r="F51" s="1129"/>
      <c r="G51" s="1129"/>
      <c r="H51" s="1211"/>
      <c r="I51" s="23"/>
    </row>
    <row r="52" spans="1:9">
      <c r="A52" s="23"/>
      <c r="B52" s="1210"/>
      <c r="C52" s="1212" t="s">
        <v>246</v>
      </c>
      <c r="D52" s="1129"/>
      <c r="E52" s="1129"/>
      <c r="F52" s="1129"/>
      <c r="G52" s="1129"/>
      <c r="H52" s="1211"/>
      <c r="I52" s="23"/>
    </row>
    <row r="53" spans="1:9">
      <c r="A53" s="23"/>
      <c r="B53" s="1210"/>
      <c r="C53" s="1807" t="s">
        <v>1285</v>
      </c>
      <c r="D53" s="1213"/>
      <c r="E53" s="1606"/>
      <c r="F53" s="1221" t="str">
        <f>IF(Question2="Other","    Number of bills per year?", "")</f>
        <v/>
      </c>
      <c r="G53" s="1606"/>
      <c r="H53" s="1211"/>
      <c r="I53" s="23"/>
    </row>
    <row r="54" spans="1:9">
      <c r="A54" s="23"/>
      <c r="B54" s="1210"/>
      <c r="C54" s="1214"/>
      <c r="D54" s="1215"/>
      <c r="E54" s="1215"/>
      <c r="F54" s="1215"/>
      <c r="G54" s="1215"/>
      <c r="H54" s="1211"/>
      <c r="I54" s="23"/>
    </row>
    <row r="55" spans="1:9">
      <c r="A55" s="23"/>
      <c r="B55" s="1210"/>
      <c r="C55" s="1131" t="s">
        <v>247</v>
      </c>
      <c r="D55" s="1129"/>
      <c r="E55" s="1129"/>
      <c r="F55" s="1129"/>
      <c r="G55" s="1129"/>
      <c r="H55" s="1211"/>
      <c r="I55" s="23"/>
    </row>
    <row r="56" spans="1:9">
      <c r="A56" s="23"/>
      <c r="B56" s="1210"/>
      <c r="C56" s="1808" t="s">
        <v>1285</v>
      </c>
      <c r="D56" s="1213"/>
      <c r="E56" s="1913" t="str">
        <f>IF(C56="Other","Please explain"," ")</f>
        <v xml:space="preserve"> </v>
      </c>
      <c r="F56" s="1913"/>
      <c r="G56" s="1913"/>
      <c r="H56" s="1211"/>
      <c r="I56" s="23"/>
    </row>
    <row r="57" spans="1:9">
      <c r="A57" s="23"/>
      <c r="B57" s="1210"/>
      <c r="C57" s="1214"/>
      <c r="D57" s="1215"/>
      <c r="E57" s="1215"/>
      <c r="F57" s="1215"/>
      <c r="G57" s="1215"/>
      <c r="H57" s="1211"/>
      <c r="I57" s="23"/>
    </row>
    <row r="58" spans="1:9">
      <c r="A58" s="23"/>
      <c r="B58" s="1210"/>
      <c r="C58" s="1131" t="s">
        <v>248</v>
      </c>
      <c r="D58" s="1129"/>
      <c r="E58" s="1129"/>
      <c r="F58" s="1129"/>
      <c r="G58" s="1129"/>
      <c r="H58" s="1211"/>
      <c r="I58" s="23"/>
    </row>
    <row r="59" spans="1:9">
      <c r="A59" s="23"/>
      <c r="B59" s="1210"/>
      <c r="C59" s="1927" t="s">
        <v>1316</v>
      </c>
      <c r="D59" s="1928"/>
      <c r="E59" s="1928"/>
      <c r="F59" s="1929"/>
      <c r="G59" s="1129"/>
      <c r="H59" s="1211"/>
      <c r="I59" s="23"/>
    </row>
    <row r="60" spans="1:9">
      <c r="A60" s="23"/>
      <c r="B60" s="1210"/>
      <c r="C60" s="1214"/>
      <c r="D60" s="1129"/>
      <c r="E60" s="1129"/>
      <c r="F60" s="1129"/>
      <c r="G60" s="1129"/>
      <c r="H60" s="1211"/>
      <c r="I60" s="23"/>
    </row>
    <row r="61" spans="1:9" ht="18" customHeight="1">
      <c r="A61" s="23"/>
      <c r="B61" s="1210"/>
      <c r="C61" s="1221" t="s">
        <v>995</v>
      </c>
      <c r="D61" s="1129"/>
      <c r="E61" s="1129"/>
      <c r="F61" s="1129"/>
      <c r="G61" s="1129"/>
      <c r="H61" s="1211"/>
      <c r="I61" s="23"/>
    </row>
    <row r="62" spans="1:9" ht="32.25" customHeight="1">
      <c r="A62" s="23"/>
      <c r="B62" s="1210"/>
      <c r="C62" s="1914" t="s">
        <v>1336</v>
      </c>
      <c r="D62" s="1915"/>
      <c r="E62" s="1915"/>
      <c r="F62" s="1915"/>
      <c r="G62" s="1916"/>
      <c r="H62" s="1211"/>
      <c r="I62" s="23"/>
    </row>
    <row r="63" spans="1:9" ht="24.75" customHeight="1">
      <c r="A63" s="23"/>
      <c r="B63" s="1210"/>
      <c r="C63" s="1917"/>
      <c r="D63" s="1918"/>
      <c r="E63" s="1918"/>
      <c r="F63" s="1918"/>
      <c r="G63" s="1919"/>
      <c r="H63" s="1211"/>
      <c r="I63" s="23"/>
    </row>
    <row r="64" spans="1:9">
      <c r="A64" s="23"/>
      <c r="B64" s="1210"/>
      <c r="C64" s="1216"/>
      <c r="D64" s="1216"/>
      <c r="E64" s="1216"/>
      <c r="F64" s="1216"/>
      <c r="G64" s="1216"/>
      <c r="H64" s="1211"/>
      <c r="I64" s="23"/>
    </row>
    <row r="65" spans="1:9" ht="27.75" customHeight="1">
      <c r="A65" s="23"/>
      <c r="B65" s="1217"/>
      <c r="C65" s="1911" t="s">
        <v>249</v>
      </c>
      <c r="D65" s="1911"/>
      <c r="E65" s="1911"/>
      <c r="F65" s="1912"/>
      <c r="G65" s="1483">
        <v>41939</v>
      </c>
      <c r="H65" s="1211"/>
      <c r="I65" s="23"/>
    </row>
    <row r="66" spans="1:9" ht="16.5" thickBot="1">
      <c r="A66" s="23"/>
      <c r="B66" s="1218"/>
      <c r="C66" s="1219"/>
      <c r="D66" s="1219"/>
      <c r="E66" s="1219"/>
      <c r="F66" s="1219"/>
      <c r="G66" s="1219"/>
      <c r="H66" s="1220"/>
      <c r="I66" s="23"/>
    </row>
    <row r="67" spans="1:9" ht="16.5" thickTop="1">
      <c r="A67" s="23"/>
      <c r="B67" s="23"/>
      <c r="C67" s="23"/>
      <c r="D67" s="23"/>
      <c r="E67" s="23"/>
      <c r="F67" s="23"/>
      <c r="G67" s="23"/>
      <c r="H67" s="23"/>
      <c r="I67" s="23"/>
    </row>
    <row r="68" spans="1:9">
      <c r="A68" s="23"/>
      <c r="B68" s="23"/>
      <c r="C68" s="23"/>
      <c r="D68" s="23"/>
      <c r="E68" s="23"/>
      <c r="F68" s="23"/>
      <c r="G68" s="23"/>
      <c r="H68" s="23"/>
      <c r="I68" s="23"/>
    </row>
    <row r="69" spans="1:9">
      <c r="A69" s="23"/>
      <c r="B69" s="23"/>
      <c r="C69" s="23"/>
      <c r="D69" s="23"/>
      <c r="E69" s="23"/>
      <c r="F69" s="23"/>
      <c r="G69" s="23"/>
      <c r="H69" s="23"/>
      <c r="I69" s="23"/>
    </row>
    <row r="70" spans="1:9">
      <c r="A70" s="23"/>
      <c r="B70" s="23"/>
      <c r="C70" s="23"/>
      <c r="D70" s="23"/>
      <c r="E70" s="23"/>
      <c r="F70" s="23"/>
      <c r="G70" s="23"/>
      <c r="H70" s="23"/>
      <c r="I70" s="23"/>
    </row>
    <row r="71" spans="1:9">
      <c r="A71" s="23"/>
      <c r="B71" s="23"/>
      <c r="C71" s="23"/>
      <c r="D71" s="23"/>
      <c r="E71" s="23"/>
      <c r="F71" s="23"/>
      <c r="G71" s="23"/>
      <c r="H71" s="23"/>
      <c r="I71" s="23"/>
    </row>
    <row r="72" spans="1:9">
      <c r="A72" s="23"/>
      <c r="B72" s="23"/>
      <c r="C72" s="23"/>
      <c r="D72" s="23"/>
      <c r="E72" s="23"/>
      <c r="F72" s="23"/>
      <c r="G72" s="23"/>
      <c r="H72" s="23"/>
      <c r="I72" s="23"/>
    </row>
    <row r="73" spans="1:9">
      <c r="A73" s="23"/>
      <c r="B73" s="23"/>
      <c r="C73" s="23"/>
      <c r="D73" s="23"/>
      <c r="E73" s="23"/>
      <c r="F73" s="23"/>
      <c r="G73" s="23"/>
      <c r="H73" s="23"/>
      <c r="I73" s="23"/>
    </row>
    <row r="74" spans="1:9">
      <c r="A74" s="23"/>
      <c r="B74" s="23"/>
      <c r="C74" s="23"/>
      <c r="D74" s="23"/>
      <c r="E74" s="23"/>
      <c r="F74" s="23"/>
      <c r="G74" s="23"/>
      <c r="H74" s="23"/>
      <c r="I74" s="23"/>
    </row>
    <row r="75" spans="1:9">
      <c r="A75" s="23"/>
      <c r="B75" s="23"/>
      <c r="C75" s="23"/>
      <c r="D75" s="23"/>
      <c r="E75" s="23"/>
      <c r="F75" s="23"/>
      <c r="G75" s="23"/>
      <c r="H75" s="23"/>
      <c r="I75" s="23"/>
    </row>
    <row r="76" spans="1:9">
      <c r="A76" s="23"/>
      <c r="B76" s="23"/>
      <c r="C76" s="23"/>
      <c r="D76" s="23"/>
      <c r="E76" s="23"/>
      <c r="F76" s="23"/>
      <c r="G76" s="23"/>
      <c r="H76" s="23"/>
      <c r="I76" s="23"/>
    </row>
    <row r="77" spans="1:9">
      <c r="A77" s="23"/>
      <c r="B77" s="23"/>
      <c r="C77" s="23"/>
      <c r="D77" s="23"/>
      <c r="E77" s="23"/>
      <c r="F77" s="23"/>
      <c r="G77" s="23"/>
      <c r="H77" s="23"/>
      <c r="I77" s="23"/>
    </row>
    <row r="78" spans="1:9">
      <c r="A78" s="23"/>
      <c r="B78" s="23"/>
      <c r="C78" s="23"/>
      <c r="D78" s="23"/>
      <c r="E78" s="23"/>
      <c r="F78" s="23"/>
      <c r="G78" s="23"/>
      <c r="H78" s="23"/>
      <c r="I78" s="23"/>
    </row>
    <row r="79" spans="1:9">
      <c r="A79" s="23"/>
      <c r="B79" s="23"/>
      <c r="C79" s="23"/>
      <c r="D79" s="23"/>
      <c r="E79" s="23"/>
      <c r="F79" s="23"/>
      <c r="G79" s="23"/>
      <c r="H79" s="23"/>
      <c r="I79" s="23"/>
    </row>
    <row r="80" spans="1:9">
      <c r="A80" s="23"/>
      <c r="B80" s="23"/>
      <c r="C80" s="23"/>
      <c r="D80" s="23"/>
      <c r="E80" s="23"/>
      <c r="F80" s="23"/>
      <c r="G80" s="23"/>
      <c r="H80" s="23"/>
      <c r="I80" s="23"/>
    </row>
    <row r="81" spans="1:9">
      <c r="A81" s="23"/>
      <c r="B81" s="23"/>
      <c r="C81" s="23"/>
      <c r="D81" s="23"/>
      <c r="E81" s="23"/>
      <c r="F81" s="23"/>
      <c r="G81" s="23"/>
      <c r="H81" s="23"/>
      <c r="I81" s="23"/>
    </row>
    <row r="82" spans="1:9">
      <c r="A82" s="23"/>
      <c r="B82" s="23"/>
      <c r="C82" s="23"/>
      <c r="D82" s="23"/>
      <c r="E82" s="23"/>
      <c r="F82" s="23"/>
      <c r="G82" s="23"/>
      <c r="H82" s="23"/>
      <c r="I82" s="23"/>
    </row>
    <row r="83" spans="1:9">
      <c r="A83" s="23"/>
      <c r="B83" s="23"/>
      <c r="C83" s="23"/>
      <c r="D83" s="23"/>
      <c r="E83" s="23"/>
      <c r="F83" s="23"/>
      <c r="G83" s="23"/>
      <c r="H83" s="23"/>
      <c r="I83" s="23"/>
    </row>
    <row r="84" spans="1:9">
      <c r="A84" s="23"/>
      <c r="B84" s="23"/>
      <c r="C84" s="23"/>
      <c r="D84" s="23"/>
      <c r="E84" s="23"/>
      <c r="F84" s="23"/>
      <c r="G84" s="23"/>
      <c r="H84" s="23"/>
      <c r="I84" s="23"/>
    </row>
    <row r="85" spans="1:9">
      <c r="A85" s="23"/>
      <c r="B85" s="23"/>
      <c r="C85" s="23"/>
      <c r="D85" s="23"/>
      <c r="E85" s="23"/>
      <c r="F85" s="23"/>
      <c r="G85" s="23"/>
      <c r="H85" s="23"/>
      <c r="I85" s="23"/>
    </row>
    <row r="86" spans="1:9">
      <c r="A86" s="23"/>
      <c r="B86" s="23"/>
      <c r="C86" s="23"/>
      <c r="D86" s="23"/>
      <c r="E86" s="23"/>
      <c r="F86" s="23"/>
      <c r="G86" s="23"/>
      <c r="H86" s="23"/>
      <c r="I86" s="23"/>
    </row>
    <row r="87" spans="1:9">
      <c r="A87" s="23"/>
      <c r="B87" s="23"/>
      <c r="C87" s="23"/>
      <c r="D87" s="23"/>
      <c r="E87" s="23"/>
      <c r="F87" s="23"/>
      <c r="G87" s="23"/>
      <c r="H87" s="23"/>
      <c r="I87" s="23"/>
    </row>
    <row r="88" spans="1:9">
      <c r="A88" s="23"/>
      <c r="B88" s="23"/>
      <c r="C88" s="23"/>
      <c r="D88" s="23"/>
      <c r="E88" s="23"/>
      <c r="F88" s="23"/>
      <c r="G88" s="23"/>
      <c r="H88" s="23"/>
      <c r="I88" s="23"/>
    </row>
    <row r="89" spans="1:9">
      <c r="A89" s="23"/>
      <c r="B89" s="23"/>
      <c r="C89" s="23"/>
      <c r="D89" s="23"/>
      <c r="E89" s="23"/>
      <c r="F89" s="23"/>
      <c r="G89" s="23"/>
      <c r="H89" s="23"/>
      <c r="I89" s="23"/>
    </row>
    <row r="90" spans="1:9">
      <c r="A90" s="23"/>
      <c r="B90" s="23"/>
      <c r="C90" s="23"/>
      <c r="D90" s="23"/>
      <c r="E90" s="23"/>
      <c r="F90" s="23"/>
      <c r="G90" s="23"/>
      <c r="H90" s="23"/>
      <c r="I90" s="23"/>
    </row>
    <row r="91" spans="1:9">
      <c r="A91" s="23"/>
      <c r="B91" s="23"/>
      <c r="C91" s="23"/>
      <c r="D91" s="23"/>
      <c r="E91" s="23"/>
      <c r="F91" s="23"/>
      <c r="G91" s="23"/>
      <c r="H91" s="23"/>
      <c r="I91" s="23"/>
    </row>
    <row r="92" spans="1:9">
      <c r="A92" s="23"/>
      <c r="B92" s="23"/>
      <c r="C92" s="23"/>
      <c r="D92" s="23"/>
      <c r="E92" s="23"/>
      <c r="F92" s="23"/>
      <c r="G92" s="23"/>
      <c r="H92" s="23"/>
      <c r="I92" s="23"/>
    </row>
    <row r="93" spans="1:9">
      <c r="A93" s="23"/>
      <c r="B93" s="23"/>
      <c r="C93" s="23"/>
      <c r="D93" s="23"/>
      <c r="E93" s="23"/>
      <c r="F93" s="23"/>
      <c r="G93" s="23"/>
      <c r="H93" s="23"/>
      <c r="I93" s="23"/>
    </row>
    <row r="94" spans="1:9">
      <c r="A94" s="23"/>
      <c r="B94" s="23"/>
      <c r="C94" s="23"/>
      <c r="D94" s="23"/>
      <c r="E94" s="23"/>
      <c r="F94" s="23"/>
      <c r="G94" s="23"/>
      <c r="H94" s="23"/>
      <c r="I94" s="23"/>
    </row>
    <row r="95" spans="1:9">
      <c r="A95" s="23"/>
      <c r="B95" s="23"/>
      <c r="C95" s="23"/>
      <c r="D95" s="23"/>
      <c r="E95" s="23"/>
      <c r="F95" s="23"/>
      <c r="G95" s="23"/>
      <c r="H95" s="23"/>
      <c r="I95" s="23"/>
    </row>
    <row r="96" spans="1:9">
      <c r="A96" s="23"/>
      <c r="B96" s="23"/>
      <c r="C96" s="23"/>
      <c r="D96" s="23"/>
      <c r="E96" s="23"/>
      <c r="F96" s="23"/>
      <c r="G96" s="23"/>
      <c r="H96" s="23"/>
      <c r="I96" s="23"/>
    </row>
    <row r="97" spans="1:9">
      <c r="A97" s="23"/>
      <c r="B97" s="23"/>
      <c r="C97" s="23"/>
      <c r="D97" s="23"/>
      <c r="E97" s="23"/>
      <c r="F97" s="23"/>
      <c r="G97" s="23"/>
      <c r="H97" s="23"/>
      <c r="I97" s="23"/>
    </row>
    <row r="98" spans="1:9">
      <c r="A98" s="23"/>
      <c r="B98" s="23"/>
      <c r="C98" s="23"/>
      <c r="D98" s="23"/>
      <c r="E98" s="23"/>
      <c r="F98" s="23"/>
      <c r="G98" s="23"/>
      <c r="H98" s="23"/>
      <c r="I98" s="23"/>
    </row>
    <row r="99" spans="1:9">
      <c r="A99" s="23"/>
      <c r="B99" s="23"/>
      <c r="C99" s="23"/>
      <c r="D99" s="23"/>
      <c r="E99" s="23"/>
      <c r="F99" s="23"/>
      <c r="G99" s="23"/>
      <c r="H99" s="23"/>
      <c r="I99" s="23"/>
    </row>
    <row r="100" spans="1:9">
      <c r="A100" s="23"/>
      <c r="B100" s="23"/>
      <c r="C100" s="23"/>
      <c r="D100" s="23"/>
      <c r="E100" s="23"/>
      <c r="F100" s="23"/>
      <c r="G100" s="23"/>
      <c r="H100" s="23"/>
      <c r="I100" s="23"/>
    </row>
    <row r="101" spans="1:9">
      <c r="A101" s="23"/>
      <c r="B101" s="23"/>
      <c r="C101" s="23"/>
      <c r="D101" s="23"/>
      <c r="E101" s="23"/>
      <c r="F101" s="23"/>
      <c r="G101" s="23"/>
      <c r="H101" s="23"/>
      <c r="I101" s="23"/>
    </row>
    <row r="102" spans="1:9">
      <c r="A102" s="23"/>
      <c r="B102" s="23"/>
      <c r="C102" s="23"/>
      <c r="D102" s="23"/>
      <c r="E102" s="23"/>
      <c r="F102" s="23"/>
      <c r="G102" s="23"/>
      <c r="H102" s="23"/>
      <c r="I102" s="23"/>
    </row>
    <row r="103" spans="1:9">
      <c r="A103" s="23"/>
      <c r="B103" s="23"/>
      <c r="C103" s="23"/>
      <c r="D103" s="23"/>
      <c r="E103" s="23"/>
      <c r="F103" s="23"/>
      <c r="G103" s="23"/>
      <c r="H103" s="23"/>
      <c r="I103" s="23"/>
    </row>
    <row r="104" spans="1:9">
      <c r="A104" s="23"/>
      <c r="B104" s="23"/>
      <c r="C104" s="23"/>
      <c r="D104" s="23"/>
      <c r="E104" s="23"/>
      <c r="F104" s="23"/>
      <c r="G104" s="23"/>
      <c r="H104" s="23"/>
      <c r="I104" s="23"/>
    </row>
    <row r="105" spans="1:9">
      <c r="A105" s="23"/>
      <c r="B105" s="23"/>
      <c r="C105" s="23"/>
      <c r="D105" s="23"/>
      <c r="E105" s="23"/>
      <c r="F105" s="23"/>
      <c r="G105" s="23"/>
      <c r="H105" s="23"/>
      <c r="I105" s="23"/>
    </row>
    <row r="106" spans="1:9">
      <c r="A106" s="23"/>
      <c r="B106" s="23"/>
      <c r="C106" s="23"/>
      <c r="D106" s="23"/>
      <c r="E106" s="23"/>
      <c r="F106" s="23"/>
      <c r="G106" s="23"/>
      <c r="H106" s="23"/>
      <c r="I106" s="23"/>
    </row>
    <row r="107" spans="1:9">
      <c r="A107" s="23"/>
      <c r="B107" s="23"/>
      <c r="C107" s="23"/>
      <c r="D107" s="23"/>
      <c r="E107" s="23"/>
      <c r="F107" s="23"/>
      <c r="G107" s="23"/>
      <c r="H107" s="23"/>
      <c r="I107" s="23"/>
    </row>
    <row r="108" spans="1:9">
      <c r="A108" s="23"/>
      <c r="B108" s="23"/>
      <c r="C108" s="23"/>
      <c r="D108" s="23"/>
      <c r="E108" s="23"/>
      <c r="F108" s="23"/>
      <c r="G108" s="23"/>
      <c r="H108" s="23"/>
      <c r="I108" s="23"/>
    </row>
    <row r="109" spans="1:9">
      <c r="A109" s="23"/>
      <c r="B109" s="23"/>
      <c r="C109" s="23"/>
      <c r="D109" s="23"/>
      <c r="E109" s="23"/>
      <c r="F109" s="23"/>
      <c r="G109" s="23"/>
      <c r="H109" s="23"/>
      <c r="I109" s="23"/>
    </row>
    <row r="110" spans="1:9">
      <c r="A110" s="23"/>
      <c r="B110" s="23"/>
      <c r="C110" s="23"/>
      <c r="D110" s="23"/>
      <c r="E110" s="23"/>
      <c r="F110" s="23"/>
      <c r="G110" s="23"/>
      <c r="H110" s="23"/>
      <c r="I110" s="23"/>
    </row>
    <row r="111" spans="1:9">
      <c r="A111" s="23"/>
      <c r="B111" s="23"/>
      <c r="C111" s="23"/>
      <c r="D111" s="23"/>
      <c r="E111" s="23"/>
      <c r="F111" s="23"/>
      <c r="G111" s="23"/>
      <c r="H111" s="23"/>
      <c r="I111" s="23"/>
    </row>
    <row r="112" spans="1:9">
      <c r="A112" s="23"/>
      <c r="B112" s="23"/>
      <c r="C112" s="23"/>
      <c r="D112" s="23"/>
      <c r="E112" s="23"/>
      <c r="F112" s="23"/>
      <c r="G112" s="23"/>
      <c r="H112" s="23"/>
      <c r="I112" s="23"/>
    </row>
    <row r="113" spans="1:9">
      <c r="A113" s="23"/>
      <c r="B113" s="23"/>
      <c r="C113" s="23"/>
      <c r="D113" s="23"/>
      <c r="E113" s="23"/>
      <c r="F113" s="23"/>
      <c r="G113" s="23"/>
      <c r="H113" s="23"/>
      <c r="I113" s="23"/>
    </row>
    <row r="114" spans="1:9">
      <c r="A114" s="23"/>
      <c r="B114" s="23"/>
      <c r="C114" s="23"/>
      <c r="D114" s="23"/>
      <c r="E114" s="23"/>
      <c r="F114" s="23"/>
      <c r="G114" s="23"/>
      <c r="H114" s="23"/>
      <c r="I114" s="23"/>
    </row>
    <row r="115" spans="1:9">
      <c r="A115" s="23"/>
      <c r="B115" s="23"/>
      <c r="C115" s="23"/>
      <c r="D115" s="23"/>
      <c r="E115" s="23"/>
      <c r="F115" s="23"/>
      <c r="G115" s="23"/>
      <c r="H115" s="23"/>
      <c r="I115" s="23"/>
    </row>
    <row r="116" spans="1:9">
      <c r="A116" s="23"/>
      <c r="B116" s="23"/>
      <c r="C116" s="23"/>
      <c r="D116" s="23"/>
      <c r="E116" s="23"/>
      <c r="F116" s="23"/>
      <c r="G116" s="23"/>
      <c r="H116" s="23"/>
      <c r="I116" s="23"/>
    </row>
    <row r="117" spans="1:9">
      <c r="A117" s="23"/>
      <c r="B117" s="23"/>
      <c r="C117" s="23"/>
      <c r="D117" s="23"/>
      <c r="E117" s="23"/>
      <c r="F117" s="23"/>
      <c r="G117" s="23"/>
      <c r="H117" s="23"/>
      <c r="I117" s="23"/>
    </row>
    <row r="118" spans="1:9">
      <c r="A118" s="23"/>
      <c r="B118" s="23"/>
      <c r="C118" s="23"/>
      <c r="D118" s="23"/>
      <c r="E118" s="23"/>
      <c r="F118" s="23"/>
      <c r="G118" s="23"/>
      <c r="H118" s="23"/>
      <c r="I118" s="23"/>
    </row>
    <row r="119" spans="1:9">
      <c r="A119" s="23"/>
      <c r="B119" s="23"/>
      <c r="C119" s="23"/>
      <c r="D119" s="23"/>
      <c r="E119" s="23"/>
      <c r="F119" s="23"/>
      <c r="G119" s="23"/>
      <c r="H119" s="23"/>
      <c r="I119" s="23"/>
    </row>
    <row r="120" spans="1:9">
      <c r="A120" s="23"/>
      <c r="B120" s="23"/>
      <c r="C120" s="23"/>
      <c r="D120" s="23"/>
      <c r="E120" s="23"/>
      <c r="F120" s="23"/>
      <c r="G120" s="23"/>
      <c r="H120" s="23"/>
      <c r="I120" s="23"/>
    </row>
    <row r="121" spans="1:9">
      <c r="A121" s="23"/>
      <c r="B121" s="23"/>
      <c r="C121" s="23"/>
      <c r="D121" s="23"/>
      <c r="E121" s="23"/>
      <c r="F121" s="23"/>
      <c r="G121" s="23"/>
      <c r="H121" s="23"/>
      <c r="I121" s="23"/>
    </row>
    <row r="122" spans="1:9">
      <c r="A122" s="23"/>
      <c r="B122" s="23"/>
      <c r="C122" s="23"/>
      <c r="D122" s="23"/>
      <c r="E122" s="23"/>
      <c r="F122" s="23"/>
      <c r="G122" s="23"/>
      <c r="H122" s="23"/>
      <c r="I122" s="23"/>
    </row>
    <row r="123" spans="1:9">
      <c r="A123" s="23"/>
      <c r="B123" s="23"/>
      <c r="C123" s="23"/>
      <c r="D123" s="23"/>
      <c r="E123" s="23"/>
      <c r="F123" s="23"/>
      <c r="G123" s="23"/>
      <c r="H123" s="23"/>
      <c r="I123" s="23"/>
    </row>
    <row r="124" spans="1:9">
      <c r="A124" s="23"/>
      <c r="B124" s="23"/>
      <c r="C124" s="23"/>
      <c r="D124" s="23"/>
      <c r="E124" s="23"/>
      <c r="F124" s="23"/>
      <c r="G124" s="23"/>
      <c r="H124" s="23"/>
      <c r="I124" s="23"/>
    </row>
    <row r="125" spans="1:9">
      <c r="A125" s="23"/>
      <c r="B125" s="23"/>
      <c r="C125" s="23"/>
      <c r="D125" s="23"/>
      <c r="E125" s="23"/>
      <c r="F125" s="23"/>
      <c r="G125" s="23"/>
      <c r="H125" s="23"/>
      <c r="I125" s="23"/>
    </row>
    <row r="126" spans="1:9">
      <c r="A126" s="23"/>
      <c r="B126" s="23"/>
      <c r="C126" s="23"/>
      <c r="D126" s="23"/>
      <c r="E126" s="23"/>
      <c r="F126" s="23"/>
      <c r="G126" s="23"/>
      <c r="H126" s="23"/>
      <c r="I126" s="23"/>
    </row>
    <row r="127" spans="1:9">
      <c r="A127" s="23"/>
      <c r="B127" s="23"/>
      <c r="C127" s="23"/>
      <c r="D127" s="23"/>
      <c r="E127" s="23"/>
      <c r="F127" s="23"/>
      <c r="G127" s="23"/>
      <c r="H127" s="23"/>
      <c r="I127" s="23"/>
    </row>
    <row r="128" spans="1:9">
      <c r="A128" s="23"/>
      <c r="B128" s="23"/>
      <c r="C128" s="23"/>
      <c r="D128" s="23"/>
      <c r="E128" s="23"/>
      <c r="F128" s="23"/>
      <c r="G128" s="23"/>
      <c r="H128" s="23"/>
      <c r="I128" s="23"/>
    </row>
    <row r="129" spans="1:9">
      <c r="A129" s="23"/>
      <c r="B129" s="23"/>
      <c r="C129" s="23"/>
      <c r="D129" s="23"/>
      <c r="E129" s="23"/>
      <c r="F129" s="23"/>
      <c r="G129" s="23"/>
      <c r="H129" s="23"/>
      <c r="I129" s="23"/>
    </row>
    <row r="130" spans="1:9">
      <c r="A130" s="23"/>
      <c r="B130" s="23"/>
      <c r="C130" s="23"/>
      <c r="D130" s="23"/>
      <c r="E130" s="23"/>
      <c r="F130" s="23"/>
      <c r="G130" s="23"/>
      <c r="H130" s="23"/>
      <c r="I130" s="23"/>
    </row>
    <row r="131" spans="1:9">
      <c r="A131" s="23"/>
      <c r="B131" s="23"/>
      <c r="C131" s="23"/>
      <c r="D131" s="23"/>
      <c r="E131" s="23"/>
      <c r="F131" s="23"/>
      <c r="G131" s="23"/>
      <c r="H131" s="23"/>
      <c r="I131" s="23"/>
    </row>
    <row r="132" spans="1:9">
      <c r="A132" s="23"/>
      <c r="B132" s="23"/>
      <c r="C132" s="23"/>
      <c r="D132" s="23"/>
      <c r="E132" s="23"/>
      <c r="F132" s="23"/>
      <c r="G132" s="23"/>
      <c r="H132" s="23"/>
      <c r="I132" s="23"/>
    </row>
    <row r="133" spans="1:9">
      <c r="A133" s="23"/>
      <c r="B133" s="23"/>
      <c r="C133" s="23"/>
      <c r="D133" s="23"/>
      <c r="E133" s="23"/>
      <c r="F133" s="23"/>
      <c r="G133" s="23"/>
      <c r="H133" s="23"/>
      <c r="I133" s="23"/>
    </row>
    <row r="134" spans="1:9">
      <c r="A134" s="23"/>
      <c r="B134" s="23"/>
      <c r="C134" s="23"/>
      <c r="D134" s="23"/>
      <c r="E134" s="23"/>
      <c r="F134" s="23"/>
      <c r="G134" s="23"/>
      <c r="H134" s="23"/>
      <c r="I134" s="23"/>
    </row>
    <row r="135" spans="1:9">
      <c r="A135" s="23"/>
      <c r="B135" s="23"/>
      <c r="C135" s="23"/>
      <c r="D135" s="23"/>
      <c r="E135" s="23"/>
      <c r="F135" s="23"/>
      <c r="G135" s="23"/>
      <c r="H135" s="23"/>
      <c r="I135" s="23"/>
    </row>
    <row r="136" spans="1:9">
      <c r="A136" s="23"/>
      <c r="B136" s="23"/>
      <c r="C136" s="23"/>
      <c r="D136" s="23"/>
      <c r="E136" s="23"/>
      <c r="F136" s="23"/>
      <c r="G136" s="23"/>
      <c r="H136" s="23"/>
      <c r="I136" s="23"/>
    </row>
    <row r="137" spans="1:9">
      <c r="A137" s="23"/>
      <c r="B137" s="23"/>
      <c r="C137" s="23"/>
      <c r="D137" s="23"/>
      <c r="E137" s="23"/>
      <c r="F137" s="23"/>
      <c r="G137" s="23"/>
      <c r="H137" s="23"/>
      <c r="I137" s="23"/>
    </row>
    <row r="138" spans="1:9">
      <c r="A138" s="23"/>
      <c r="B138" s="23"/>
      <c r="C138" s="23"/>
      <c r="D138" s="23"/>
      <c r="E138" s="23"/>
      <c r="F138" s="23"/>
      <c r="G138" s="23"/>
      <c r="H138" s="23"/>
      <c r="I138" s="23"/>
    </row>
    <row r="139" spans="1:9">
      <c r="A139" s="23"/>
      <c r="B139" s="23"/>
      <c r="C139" s="23"/>
      <c r="D139" s="23"/>
      <c r="E139" s="23"/>
      <c r="F139" s="23"/>
      <c r="G139" s="23"/>
      <c r="H139" s="23"/>
      <c r="I139" s="23"/>
    </row>
    <row r="140" spans="1:9">
      <c r="A140" s="23"/>
      <c r="B140" s="23"/>
      <c r="C140" s="23"/>
      <c r="D140" s="23"/>
      <c r="E140" s="23"/>
      <c r="F140" s="23"/>
      <c r="G140" s="23"/>
      <c r="H140" s="23"/>
      <c r="I140" s="23"/>
    </row>
    <row r="141" spans="1:9">
      <c r="A141" s="23"/>
      <c r="B141" s="23"/>
      <c r="C141" s="23"/>
      <c r="D141" s="23"/>
      <c r="E141" s="23"/>
      <c r="F141" s="23"/>
      <c r="G141" s="23"/>
      <c r="H141" s="23"/>
      <c r="I141" s="23"/>
    </row>
    <row r="142" spans="1:9">
      <c r="A142" s="23"/>
      <c r="B142" s="23"/>
      <c r="C142" s="23"/>
      <c r="D142" s="23"/>
      <c r="E142" s="23"/>
      <c r="F142" s="23"/>
      <c r="G142" s="23"/>
      <c r="H142" s="23"/>
      <c r="I142" s="23"/>
    </row>
    <row r="143" spans="1:9">
      <c r="A143" s="23"/>
      <c r="B143" s="23"/>
      <c r="C143" s="23"/>
      <c r="D143" s="23"/>
      <c r="E143" s="23"/>
      <c r="F143" s="23"/>
      <c r="G143" s="23"/>
      <c r="H143" s="23"/>
      <c r="I143" s="23"/>
    </row>
    <row r="144" spans="1:9">
      <c r="A144" s="23"/>
      <c r="B144" s="23"/>
      <c r="C144" s="23"/>
      <c r="D144" s="23"/>
      <c r="E144" s="23"/>
      <c r="F144" s="23"/>
      <c r="G144" s="23"/>
      <c r="H144" s="23"/>
      <c r="I144" s="23"/>
    </row>
    <row r="145" spans="1:9">
      <c r="A145" s="23"/>
      <c r="B145" s="23"/>
      <c r="C145" s="23"/>
      <c r="D145" s="23"/>
      <c r="E145" s="23"/>
      <c r="F145" s="23"/>
      <c r="G145" s="23"/>
      <c r="H145" s="23"/>
      <c r="I145" s="23"/>
    </row>
    <row r="146" spans="1:9">
      <c r="A146" s="23"/>
      <c r="B146" s="23"/>
      <c r="C146" s="23"/>
      <c r="D146" s="23"/>
      <c r="E146" s="23"/>
      <c r="F146" s="23"/>
      <c r="G146" s="23"/>
      <c r="H146" s="23"/>
      <c r="I146" s="23"/>
    </row>
    <row r="147" spans="1:9">
      <c r="A147" s="23"/>
      <c r="B147" s="23"/>
      <c r="C147" s="23"/>
      <c r="D147" s="23"/>
      <c r="E147" s="23"/>
      <c r="F147" s="23"/>
      <c r="G147" s="23"/>
      <c r="H147" s="23"/>
      <c r="I147" s="23"/>
    </row>
    <row r="148" spans="1:9">
      <c r="A148" s="23"/>
      <c r="B148" s="23"/>
      <c r="C148" s="23"/>
      <c r="D148" s="23"/>
      <c r="E148" s="23"/>
      <c r="F148" s="23"/>
      <c r="G148" s="23"/>
      <c r="H148" s="23"/>
      <c r="I148" s="23"/>
    </row>
    <row r="149" spans="1:9">
      <c r="A149" s="23"/>
      <c r="B149" s="23"/>
      <c r="C149" s="23"/>
      <c r="D149" s="23"/>
      <c r="E149" s="23"/>
      <c r="F149" s="23"/>
      <c r="G149" s="23"/>
      <c r="H149" s="23"/>
      <c r="I149" s="23"/>
    </row>
    <row r="150" spans="1:9">
      <c r="A150" s="23"/>
      <c r="B150" s="23"/>
      <c r="C150" s="23"/>
      <c r="D150" s="23"/>
      <c r="E150" s="23"/>
      <c r="F150" s="23"/>
      <c r="G150" s="23"/>
      <c r="H150" s="23"/>
      <c r="I150" s="23"/>
    </row>
    <row r="151" spans="1:9">
      <c r="A151" s="23"/>
      <c r="B151" s="23"/>
      <c r="C151" s="23"/>
      <c r="D151" s="23"/>
      <c r="E151" s="23"/>
      <c r="F151" s="23"/>
      <c r="G151" s="23"/>
      <c r="H151" s="23"/>
      <c r="I151" s="23"/>
    </row>
    <row r="152" spans="1:9">
      <c r="A152" s="23"/>
      <c r="B152" s="23"/>
      <c r="C152" s="23"/>
      <c r="D152" s="23"/>
      <c r="E152" s="23"/>
      <c r="F152" s="23"/>
      <c r="G152" s="23"/>
      <c r="H152" s="23"/>
      <c r="I152" s="23"/>
    </row>
    <row r="153" spans="1:9">
      <c r="A153" s="23"/>
      <c r="B153" s="23"/>
      <c r="C153" s="23"/>
      <c r="D153" s="23"/>
      <c r="E153" s="23"/>
      <c r="F153" s="23"/>
      <c r="G153" s="23"/>
      <c r="H153" s="23"/>
      <c r="I153" s="23"/>
    </row>
    <row r="154" spans="1:9">
      <c r="A154" s="23"/>
      <c r="B154" s="23"/>
      <c r="C154" s="23"/>
      <c r="D154" s="23"/>
      <c r="E154" s="23"/>
      <c r="F154" s="23"/>
      <c r="G154" s="23"/>
      <c r="H154" s="23"/>
      <c r="I154" s="23"/>
    </row>
    <row r="155" spans="1:9">
      <c r="A155" s="23"/>
      <c r="B155" s="23"/>
      <c r="C155" s="23"/>
      <c r="D155" s="23"/>
      <c r="E155" s="23"/>
      <c r="F155" s="23"/>
      <c r="G155" s="23"/>
      <c r="H155" s="23"/>
      <c r="I155" s="23"/>
    </row>
    <row r="156" spans="1:9">
      <c r="A156" s="23"/>
      <c r="B156" s="23"/>
      <c r="C156" s="23"/>
      <c r="D156" s="23"/>
      <c r="E156" s="23"/>
      <c r="F156" s="23"/>
      <c r="G156" s="23"/>
      <c r="H156" s="23"/>
      <c r="I156" s="23"/>
    </row>
    <row r="157" spans="1:9">
      <c r="A157" s="23"/>
      <c r="B157" s="23"/>
      <c r="C157" s="23"/>
      <c r="D157" s="23"/>
      <c r="E157" s="23"/>
      <c r="F157" s="23"/>
      <c r="G157" s="23"/>
      <c r="H157" s="23"/>
      <c r="I157" s="23"/>
    </row>
    <row r="158" spans="1:9">
      <c r="A158" s="23"/>
      <c r="B158" s="23"/>
      <c r="C158" s="23"/>
      <c r="D158" s="23"/>
      <c r="E158" s="23"/>
      <c r="F158" s="23"/>
      <c r="G158" s="23"/>
      <c r="H158" s="23"/>
      <c r="I158" s="23"/>
    </row>
    <row r="159" spans="1:9">
      <c r="A159" s="23"/>
      <c r="B159" s="23"/>
      <c r="C159" s="23"/>
      <c r="D159" s="23"/>
      <c r="E159" s="23"/>
      <c r="F159" s="23"/>
      <c r="G159" s="23"/>
      <c r="H159" s="23"/>
      <c r="I159" s="23"/>
    </row>
    <row r="160" spans="1:9">
      <c r="A160" s="23"/>
      <c r="B160" s="23"/>
      <c r="C160" s="23"/>
      <c r="D160" s="23"/>
      <c r="E160" s="23"/>
      <c r="F160" s="23"/>
      <c r="G160" s="23"/>
      <c r="H160" s="23"/>
      <c r="I160" s="23"/>
    </row>
    <row r="161" spans="1:9">
      <c r="A161" s="23"/>
      <c r="B161" s="23"/>
      <c r="C161" s="23"/>
      <c r="D161" s="23"/>
      <c r="E161" s="23"/>
      <c r="F161" s="23"/>
      <c r="G161" s="23"/>
      <c r="H161" s="23"/>
      <c r="I161" s="23"/>
    </row>
    <row r="162" spans="1:9">
      <c r="A162" s="23"/>
      <c r="B162" s="23"/>
      <c r="C162" s="23"/>
      <c r="D162" s="23"/>
      <c r="E162" s="23"/>
      <c r="F162" s="23"/>
      <c r="G162" s="23"/>
      <c r="H162" s="23"/>
      <c r="I162" s="23"/>
    </row>
    <row r="163" spans="1:9">
      <c r="A163" s="23"/>
      <c r="B163" s="23"/>
      <c r="C163" s="23"/>
      <c r="D163" s="23"/>
      <c r="E163" s="23"/>
      <c r="F163" s="23"/>
      <c r="G163" s="23"/>
      <c r="H163" s="23"/>
      <c r="I163" s="23"/>
    </row>
    <row r="164" spans="1:9">
      <c r="A164" s="23"/>
      <c r="B164" s="23"/>
      <c r="C164" s="23"/>
      <c r="D164" s="23"/>
      <c r="E164" s="23"/>
      <c r="F164" s="23"/>
      <c r="G164" s="23"/>
      <c r="H164" s="23"/>
      <c r="I164" s="23"/>
    </row>
    <row r="165" spans="1:9">
      <c r="A165" s="23"/>
      <c r="B165" s="23"/>
      <c r="C165" s="23"/>
      <c r="D165" s="23"/>
      <c r="E165" s="23"/>
      <c r="F165" s="23"/>
      <c r="G165" s="23"/>
      <c r="H165" s="23"/>
      <c r="I165" s="23"/>
    </row>
    <row r="166" spans="1:9">
      <c r="A166" s="23"/>
      <c r="B166" s="23"/>
      <c r="C166" s="23"/>
      <c r="D166" s="23"/>
      <c r="E166" s="23"/>
      <c r="F166" s="23"/>
      <c r="G166" s="23"/>
      <c r="H166" s="23"/>
      <c r="I166" s="23"/>
    </row>
    <row r="167" spans="1:9">
      <c r="A167" s="23"/>
      <c r="B167" s="23"/>
      <c r="C167" s="23"/>
      <c r="D167" s="23"/>
      <c r="E167" s="23"/>
      <c r="F167" s="23"/>
      <c r="G167" s="23"/>
      <c r="H167" s="23"/>
      <c r="I167" s="23"/>
    </row>
    <row r="168" spans="1:9">
      <c r="A168" s="23"/>
      <c r="B168" s="23"/>
      <c r="C168" s="23"/>
      <c r="D168" s="23"/>
      <c r="E168" s="23"/>
      <c r="F168" s="23"/>
      <c r="G168" s="23"/>
      <c r="H168" s="23"/>
      <c r="I168" s="23"/>
    </row>
    <row r="169" spans="1:9">
      <c r="A169" s="23"/>
      <c r="B169" s="23"/>
      <c r="C169" s="23"/>
      <c r="D169" s="23"/>
      <c r="E169" s="23"/>
      <c r="F169" s="23"/>
      <c r="G169" s="23"/>
      <c r="H169" s="23"/>
      <c r="I169" s="23"/>
    </row>
    <row r="170" spans="1:9">
      <c r="A170" s="23"/>
      <c r="B170" s="23"/>
      <c r="C170" s="23"/>
      <c r="D170" s="23"/>
      <c r="E170" s="23"/>
      <c r="F170" s="23"/>
      <c r="G170" s="23"/>
      <c r="H170" s="23"/>
      <c r="I170" s="23"/>
    </row>
    <row r="171" spans="1:9">
      <c r="A171" s="23"/>
      <c r="B171" s="23"/>
      <c r="C171" s="23"/>
      <c r="D171" s="23"/>
      <c r="E171" s="23"/>
      <c r="F171" s="23"/>
      <c r="G171" s="23"/>
      <c r="H171" s="23"/>
      <c r="I171" s="23"/>
    </row>
    <row r="172" spans="1:9">
      <c r="A172" s="23"/>
      <c r="B172" s="23"/>
      <c r="C172" s="23"/>
      <c r="D172" s="23"/>
      <c r="E172" s="23"/>
      <c r="F172" s="23"/>
      <c r="G172" s="23"/>
      <c r="H172" s="23"/>
      <c r="I172" s="23"/>
    </row>
    <row r="173" spans="1:9">
      <c r="A173" s="23"/>
      <c r="B173" s="23"/>
      <c r="C173" s="23"/>
      <c r="D173" s="23"/>
      <c r="E173" s="23"/>
      <c r="F173" s="23"/>
      <c r="G173" s="23"/>
      <c r="H173" s="23"/>
      <c r="I173" s="23"/>
    </row>
    <row r="174" spans="1:9">
      <c r="A174" s="23"/>
      <c r="B174" s="23"/>
      <c r="C174" s="23"/>
      <c r="D174" s="23"/>
      <c r="E174" s="23"/>
      <c r="F174" s="23"/>
      <c r="G174" s="23"/>
      <c r="H174" s="23"/>
      <c r="I174" s="23"/>
    </row>
    <row r="175" spans="1:9">
      <c r="A175" s="23"/>
      <c r="B175" s="23"/>
      <c r="C175" s="23"/>
      <c r="D175" s="23"/>
      <c r="E175" s="23"/>
      <c r="F175" s="23"/>
      <c r="G175" s="23"/>
      <c r="H175" s="23"/>
      <c r="I175" s="23"/>
    </row>
    <row r="176" spans="1:9">
      <c r="A176" s="23"/>
      <c r="B176" s="23"/>
      <c r="C176" s="23"/>
      <c r="D176" s="23"/>
      <c r="E176" s="23"/>
      <c r="F176" s="23"/>
      <c r="G176" s="23"/>
      <c r="H176" s="23"/>
      <c r="I176" s="23"/>
    </row>
    <row r="177" spans="1:9">
      <c r="A177" s="23"/>
      <c r="B177" s="23"/>
      <c r="C177" s="23"/>
      <c r="D177" s="23"/>
      <c r="E177" s="23"/>
      <c r="F177" s="23"/>
      <c r="G177" s="23"/>
      <c r="H177" s="23"/>
      <c r="I177" s="23"/>
    </row>
    <row r="178" spans="1:9">
      <c r="A178" s="23"/>
      <c r="B178" s="23"/>
      <c r="C178" s="23"/>
      <c r="D178" s="23"/>
      <c r="E178" s="23"/>
      <c r="F178" s="23"/>
      <c r="G178" s="23"/>
      <c r="H178" s="23"/>
      <c r="I178" s="23"/>
    </row>
    <row r="179" spans="1:9">
      <c r="A179" s="23"/>
      <c r="B179" s="23"/>
      <c r="C179" s="23"/>
      <c r="D179" s="23"/>
      <c r="E179" s="23"/>
      <c r="F179" s="23"/>
      <c r="G179" s="23"/>
      <c r="H179" s="23"/>
      <c r="I179" s="23"/>
    </row>
    <row r="180" spans="1:9">
      <c r="A180" s="23"/>
      <c r="B180" s="23"/>
      <c r="C180" s="23"/>
      <c r="D180" s="23"/>
      <c r="E180" s="23"/>
      <c r="F180" s="23"/>
      <c r="G180" s="23"/>
      <c r="H180" s="23"/>
      <c r="I180" s="23"/>
    </row>
    <row r="181" spans="1:9">
      <c r="A181" s="23"/>
      <c r="B181" s="23"/>
      <c r="C181" s="23"/>
      <c r="D181" s="23"/>
      <c r="E181" s="23"/>
      <c r="F181" s="23"/>
      <c r="G181" s="23"/>
      <c r="H181" s="23"/>
      <c r="I181" s="23"/>
    </row>
    <row r="182" spans="1:9">
      <c r="A182" s="23"/>
      <c r="B182" s="23"/>
      <c r="C182" s="23"/>
      <c r="D182" s="23"/>
      <c r="E182" s="23"/>
      <c r="F182" s="23"/>
      <c r="G182" s="23"/>
      <c r="H182" s="23"/>
      <c r="I182" s="23"/>
    </row>
    <row r="183" spans="1:9">
      <c r="A183" s="23"/>
      <c r="B183" s="23"/>
      <c r="C183" s="23"/>
      <c r="D183" s="23"/>
      <c r="E183" s="23"/>
      <c r="F183" s="23"/>
      <c r="G183" s="23"/>
      <c r="H183" s="23"/>
      <c r="I183" s="23"/>
    </row>
    <row r="184" spans="1:9">
      <c r="A184" s="23"/>
      <c r="B184" s="23"/>
      <c r="C184" s="23"/>
      <c r="D184" s="23"/>
      <c r="E184" s="23"/>
      <c r="F184" s="23"/>
      <c r="G184" s="23"/>
      <c r="H184" s="23"/>
      <c r="I184" s="23"/>
    </row>
    <row r="185" spans="1:9">
      <c r="A185" s="23"/>
      <c r="B185" s="23"/>
      <c r="C185" s="23"/>
      <c r="D185" s="23"/>
      <c r="E185" s="23"/>
      <c r="F185" s="23"/>
      <c r="G185" s="23"/>
      <c r="H185" s="23"/>
      <c r="I185" s="23"/>
    </row>
    <row r="186" spans="1:9">
      <c r="A186" s="23"/>
      <c r="B186" s="23"/>
      <c r="C186" s="23"/>
      <c r="D186" s="23"/>
      <c r="E186" s="23"/>
      <c r="F186" s="23"/>
      <c r="G186" s="23"/>
      <c r="H186" s="23"/>
      <c r="I186" s="23"/>
    </row>
    <row r="187" spans="1:9">
      <c r="A187" s="23"/>
      <c r="B187" s="23"/>
      <c r="C187" s="23"/>
      <c r="D187" s="23"/>
      <c r="E187" s="23"/>
      <c r="F187" s="23"/>
      <c r="G187" s="23"/>
      <c r="H187" s="23"/>
      <c r="I187" s="23"/>
    </row>
    <row r="188" spans="1:9">
      <c r="A188" s="23"/>
      <c r="B188" s="23"/>
      <c r="C188" s="23"/>
      <c r="D188" s="23"/>
      <c r="E188" s="23"/>
      <c r="F188" s="23"/>
      <c r="G188" s="23"/>
      <c r="H188" s="23"/>
      <c r="I188" s="23"/>
    </row>
    <row r="189" spans="1:9">
      <c r="A189" s="23"/>
      <c r="B189" s="23"/>
      <c r="C189" s="23"/>
      <c r="D189" s="23"/>
      <c r="E189" s="23"/>
      <c r="F189" s="23"/>
      <c r="G189" s="23"/>
      <c r="H189" s="23"/>
      <c r="I189" s="23"/>
    </row>
    <row r="190" spans="1:9">
      <c r="A190" s="23"/>
      <c r="B190" s="23"/>
      <c r="C190" s="23"/>
      <c r="D190" s="23"/>
      <c r="E190" s="23"/>
      <c r="F190" s="23"/>
      <c r="G190" s="23"/>
      <c r="H190" s="23"/>
      <c r="I190" s="23"/>
    </row>
    <row r="191" spans="1:9">
      <c r="A191" s="23"/>
      <c r="B191" s="23"/>
      <c r="C191" s="23"/>
      <c r="D191" s="23"/>
      <c r="E191" s="23"/>
      <c r="F191" s="23"/>
      <c r="G191" s="23"/>
      <c r="H191" s="23"/>
      <c r="I191" s="23"/>
    </row>
    <row r="192" spans="1:9">
      <c r="A192" s="23"/>
      <c r="B192" s="23"/>
      <c r="C192" s="23"/>
      <c r="D192" s="23"/>
      <c r="E192" s="23"/>
      <c r="F192" s="23"/>
      <c r="G192" s="23"/>
      <c r="H192" s="23"/>
      <c r="I192" s="23"/>
    </row>
    <row r="193" spans="1:9">
      <c r="A193" s="23"/>
      <c r="B193" s="23"/>
      <c r="C193" s="23"/>
      <c r="D193" s="23"/>
      <c r="E193" s="23"/>
      <c r="F193" s="23"/>
      <c r="G193" s="23"/>
      <c r="H193" s="23"/>
      <c r="I193" s="23"/>
    </row>
    <row r="194" spans="1:9">
      <c r="A194" s="23"/>
      <c r="B194" s="23"/>
      <c r="C194" s="23"/>
      <c r="D194" s="23"/>
      <c r="E194" s="23"/>
      <c r="F194" s="23"/>
      <c r="G194" s="23"/>
      <c r="H194" s="23"/>
      <c r="I194" s="23"/>
    </row>
    <row r="195" spans="1:9">
      <c r="A195" s="23"/>
      <c r="B195" s="23"/>
      <c r="C195" s="23"/>
      <c r="D195" s="23"/>
      <c r="E195" s="23"/>
      <c r="F195" s="23"/>
      <c r="G195" s="23"/>
      <c r="H195" s="23"/>
      <c r="I195" s="23"/>
    </row>
    <row r="196" spans="1:9">
      <c r="A196" s="23"/>
      <c r="B196" s="23"/>
      <c r="C196" s="23"/>
      <c r="D196" s="23"/>
      <c r="E196" s="23"/>
      <c r="F196" s="23"/>
      <c r="G196" s="23"/>
      <c r="H196" s="23"/>
      <c r="I196" s="23"/>
    </row>
    <row r="197" spans="1:9">
      <c r="A197" s="23"/>
      <c r="B197" s="23"/>
      <c r="C197" s="23"/>
      <c r="D197" s="23"/>
      <c r="E197" s="23"/>
      <c r="F197" s="23"/>
      <c r="G197" s="23"/>
      <c r="H197" s="23"/>
      <c r="I197" s="23"/>
    </row>
    <row r="198" spans="1:9">
      <c r="A198" s="23"/>
      <c r="B198" s="23"/>
      <c r="C198" s="23"/>
      <c r="D198" s="23"/>
      <c r="E198" s="23"/>
      <c r="F198" s="23"/>
      <c r="G198" s="23"/>
      <c r="H198" s="23"/>
      <c r="I198" s="23"/>
    </row>
    <row r="199" spans="1:9">
      <c r="A199" s="23"/>
      <c r="B199" s="23"/>
      <c r="C199" s="23"/>
      <c r="D199" s="23"/>
      <c r="E199" s="23"/>
      <c r="F199" s="23"/>
      <c r="G199" s="23"/>
      <c r="H199" s="23"/>
      <c r="I199" s="23"/>
    </row>
    <row r="200" spans="1:9">
      <c r="A200" s="23"/>
      <c r="B200" s="23"/>
      <c r="C200" s="23"/>
      <c r="D200" s="23"/>
      <c r="E200" s="23"/>
      <c r="F200" s="23"/>
      <c r="G200" s="23"/>
      <c r="H200" s="23"/>
      <c r="I200" s="23"/>
    </row>
    <row r="201" spans="1:9">
      <c r="A201" s="23"/>
      <c r="B201" s="23"/>
      <c r="C201" s="23"/>
      <c r="D201" s="23"/>
      <c r="E201" s="23"/>
      <c r="F201" s="23"/>
      <c r="G201" s="23"/>
      <c r="H201" s="23"/>
      <c r="I201" s="23"/>
    </row>
    <row r="202" spans="1:9">
      <c r="A202" s="23"/>
      <c r="B202" s="23"/>
      <c r="C202" s="23"/>
      <c r="D202" s="23"/>
      <c r="E202" s="23"/>
      <c r="F202" s="23"/>
      <c r="G202" s="23"/>
      <c r="H202" s="23"/>
      <c r="I202" s="23"/>
    </row>
    <row r="203" spans="1:9">
      <c r="A203" s="23"/>
      <c r="B203" s="23"/>
      <c r="C203" s="23"/>
      <c r="D203" s="23"/>
      <c r="E203" s="23"/>
      <c r="F203" s="23"/>
      <c r="G203" s="23"/>
      <c r="H203" s="23"/>
      <c r="I203" s="23"/>
    </row>
    <row r="204" spans="1:9">
      <c r="A204" s="23"/>
      <c r="B204" s="23"/>
      <c r="C204" s="23"/>
      <c r="D204" s="23"/>
      <c r="E204" s="23"/>
      <c r="F204" s="23"/>
      <c r="G204" s="23"/>
      <c r="H204" s="23"/>
      <c r="I204" s="23"/>
    </row>
    <row r="205" spans="1:9">
      <c r="A205" s="23"/>
      <c r="B205" s="23"/>
      <c r="C205" s="23"/>
      <c r="D205" s="23"/>
      <c r="E205" s="23"/>
      <c r="F205" s="23"/>
      <c r="G205" s="23"/>
      <c r="H205" s="23"/>
      <c r="I205" s="23"/>
    </row>
    <row r="206" spans="1:9">
      <c r="A206" s="23"/>
      <c r="B206" s="23"/>
      <c r="C206" s="23"/>
      <c r="D206" s="23"/>
      <c r="E206" s="23"/>
      <c r="F206" s="23"/>
      <c r="G206" s="23"/>
      <c r="H206" s="23"/>
      <c r="I206" s="23"/>
    </row>
    <row r="207" spans="1:9">
      <c r="A207" s="23"/>
      <c r="B207" s="23"/>
      <c r="C207" s="23"/>
      <c r="D207" s="23"/>
      <c r="E207" s="23"/>
      <c r="F207" s="23"/>
      <c r="G207" s="23"/>
      <c r="H207" s="23"/>
      <c r="I207" s="23"/>
    </row>
    <row r="208" spans="1:9">
      <c r="A208" s="23"/>
      <c r="B208" s="23"/>
      <c r="C208" s="23"/>
      <c r="D208" s="23"/>
      <c r="E208" s="23"/>
      <c r="F208" s="23"/>
      <c r="G208" s="23"/>
      <c r="H208" s="23"/>
      <c r="I208" s="23"/>
    </row>
    <row r="209" spans="1:9">
      <c r="A209" s="23"/>
      <c r="B209" s="23"/>
      <c r="C209" s="23"/>
      <c r="D209" s="23"/>
      <c r="E209" s="23"/>
      <c r="F209" s="23"/>
      <c r="G209" s="23"/>
      <c r="H209" s="23"/>
      <c r="I209" s="23"/>
    </row>
    <row r="210" spans="1:9">
      <c r="A210" s="23"/>
      <c r="B210" s="23"/>
      <c r="C210" s="23"/>
      <c r="D210" s="23"/>
      <c r="E210" s="23"/>
      <c r="F210" s="23"/>
      <c r="G210" s="23"/>
      <c r="H210" s="23"/>
      <c r="I210" s="23"/>
    </row>
    <row r="211" spans="1:9">
      <c r="A211" s="23"/>
      <c r="B211" s="23"/>
      <c r="C211" s="23"/>
      <c r="D211" s="23"/>
      <c r="E211" s="23"/>
      <c r="F211" s="23"/>
      <c r="G211" s="23"/>
      <c r="H211" s="23"/>
      <c r="I211" s="23"/>
    </row>
    <row r="212" spans="1:9">
      <c r="A212" s="23"/>
      <c r="B212" s="23"/>
      <c r="C212" s="23"/>
      <c r="D212" s="23"/>
      <c r="E212" s="23"/>
      <c r="F212" s="23"/>
      <c r="G212" s="23"/>
      <c r="H212" s="23"/>
      <c r="I212" s="23"/>
    </row>
    <row r="213" spans="1:9">
      <c r="A213" s="23"/>
      <c r="B213" s="23"/>
      <c r="C213" s="23"/>
      <c r="D213" s="23"/>
      <c r="E213" s="23"/>
      <c r="F213" s="23"/>
      <c r="G213" s="23"/>
      <c r="H213" s="23"/>
      <c r="I213" s="23"/>
    </row>
    <row r="214" spans="1:9">
      <c r="A214" s="23"/>
      <c r="B214" s="23"/>
      <c r="C214" s="23"/>
      <c r="D214" s="23"/>
      <c r="E214" s="23"/>
      <c r="F214" s="23"/>
      <c r="G214" s="23"/>
      <c r="H214" s="23"/>
      <c r="I214" s="23"/>
    </row>
    <row r="215" spans="1:9">
      <c r="A215" s="23"/>
      <c r="B215" s="23"/>
      <c r="C215" s="23"/>
      <c r="D215" s="23"/>
      <c r="E215" s="23"/>
      <c r="F215" s="23"/>
      <c r="G215" s="23"/>
      <c r="H215" s="23"/>
      <c r="I215" s="23"/>
    </row>
    <row r="216" spans="1:9">
      <c r="A216" s="23"/>
      <c r="B216" s="23"/>
      <c r="C216" s="23"/>
      <c r="D216" s="23"/>
      <c r="E216" s="23"/>
      <c r="F216" s="23"/>
      <c r="G216" s="23"/>
      <c r="H216" s="23"/>
      <c r="I216" s="23"/>
    </row>
    <row r="217" spans="1:9">
      <c r="A217" s="23"/>
      <c r="B217" s="23"/>
      <c r="C217" s="23"/>
      <c r="D217" s="23"/>
      <c r="E217" s="23"/>
      <c r="F217" s="23"/>
      <c r="G217" s="23"/>
      <c r="H217" s="23"/>
      <c r="I217" s="23"/>
    </row>
    <row r="218" spans="1:9">
      <c r="A218" s="23"/>
      <c r="B218" s="23"/>
      <c r="C218" s="23"/>
      <c r="D218" s="23"/>
      <c r="E218" s="23"/>
      <c r="F218" s="23"/>
      <c r="G218" s="23"/>
      <c r="H218" s="23"/>
      <c r="I218" s="23"/>
    </row>
    <row r="219" spans="1:9">
      <c r="A219" s="23"/>
      <c r="B219" s="23"/>
      <c r="C219" s="23"/>
      <c r="D219" s="23"/>
      <c r="E219" s="23"/>
      <c r="F219" s="23"/>
      <c r="G219" s="23"/>
      <c r="H219" s="23"/>
      <c r="I219" s="23"/>
    </row>
    <row r="220" spans="1:9">
      <c r="A220" s="23"/>
      <c r="B220" s="23"/>
      <c r="C220" s="23"/>
      <c r="D220" s="23"/>
      <c r="E220" s="23"/>
      <c r="F220" s="23"/>
      <c r="G220" s="23"/>
      <c r="H220" s="23"/>
      <c r="I220" s="23"/>
    </row>
    <row r="221" spans="1:9">
      <c r="A221" s="23"/>
      <c r="B221" s="23"/>
      <c r="C221" s="23"/>
      <c r="D221" s="23"/>
      <c r="E221" s="23"/>
      <c r="F221" s="23"/>
      <c r="G221" s="23"/>
      <c r="H221" s="23"/>
      <c r="I221" s="23"/>
    </row>
    <row r="222" spans="1:9">
      <c r="A222" s="23"/>
      <c r="B222" s="23"/>
      <c r="C222" s="23"/>
      <c r="D222" s="23"/>
      <c r="E222" s="23"/>
      <c r="F222" s="23"/>
      <c r="G222" s="23"/>
      <c r="H222" s="23"/>
      <c r="I222" s="23"/>
    </row>
    <row r="223" spans="1:9">
      <c r="A223" s="23"/>
      <c r="B223" s="23"/>
      <c r="C223" s="23"/>
      <c r="D223" s="23"/>
      <c r="E223" s="23"/>
      <c r="F223" s="23"/>
      <c r="G223" s="23"/>
      <c r="H223" s="23"/>
      <c r="I223" s="23"/>
    </row>
    <row r="224" spans="1:9">
      <c r="A224" s="23"/>
      <c r="B224" s="23"/>
      <c r="C224" s="23"/>
      <c r="D224" s="23"/>
      <c r="E224" s="23"/>
      <c r="F224" s="23"/>
      <c r="G224" s="23"/>
      <c r="H224" s="23"/>
      <c r="I224" s="23"/>
    </row>
    <row r="225" spans="1:9">
      <c r="A225" s="23"/>
      <c r="B225" s="23"/>
      <c r="C225" s="23"/>
      <c r="D225" s="23"/>
      <c r="E225" s="23"/>
      <c r="F225" s="23"/>
      <c r="G225" s="23"/>
      <c r="H225" s="23"/>
      <c r="I225" s="23"/>
    </row>
    <row r="226" spans="1:9">
      <c r="A226" s="23"/>
      <c r="B226" s="23"/>
      <c r="C226" s="23"/>
      <c r="D226" s="23"/>
      <c r="E226" s="23"/>
      <c r="F226" s="23"/>
      <c r="G226" s="23"/>
      <c r="H226" s="23"/>
      <c r="I226" s="23"/>
    </row>
    <row r="227" spans="1:9">
      <c r="A227" s="23"/>
      <c r="B227" s="23"/>
      <c r="C227" s="23"/>
      <c r="D227" s="23"/>
      <c r="E227" s="23"/>
      <c r="F227" s="23"/>
      <c r="G227" s="23"/>
      <c r="H227" s="23"/>
      <c r="I227" s="23"/>
    </row>
    <row r="228" spans="1:9">
      <c r="A228" s="23"/>
      <c r="B228" s="23"/>
      <c r="C228" s="23"/>
      <c r="D228" s="23"/>
      <c r="E228" s="23"/>
      <c r="F228" s="23"/>
      <c r="G228" s="23"/>
      <c r="H228" s="23"/>
      <c r="I228" s="23"/>
    </row>
    <row r="229" spans="1:9">
      <c r="A229" s="23"/>
      <c r="B229" s="23"/>
      <c r="C229" s="23"/>
      <c r="D229" s="23"/>
      <c r="E229" s="23"/>
      <c r="F229" s="23"/>
      <c r="G229" s="23"/>
      <c r="H229" s="23"/>
      <c r="I229" s="23"/>
    </row>
    <row r="230" spans="1:9">
      <c r="A230" s="23"/>
      <c r="B230" s="23"/>
      <c r="C230" s="23"/>
      <c r="D230" s="23"/>
      <c r="E230" s="23"/>
      <c r="F230" s="23"/>
      <c r="G230" s="23"/>
      <c r="H230" s="23"/>
      <c r="I230" s="23"/>
    </row>
    <row r="231" spans="1:9">
      <c r="A231" s="23"/>
      <c r="B231" s="23"/>
      <c r="C231" s="23"/>
      <c r="D231" s="23"/>
      <c r="E231" s="23"/>
      <c r="F231" s="23"/>
      <c r="G231" s="23"/>
      <c r="H231" s="23"/>
      <c r="I231" s="23"/>
    </row>
    <row r="232" spans="1:9">
      <c r="A232" s="23"/>
      <c r="B232" s="23"/>
      <c r="C232" s="23"/>
      <c r="D232" s="23"/>
      <c r="E232" s="23"/>
      <c r="F232" s="23"/>
      <c r="G232" s="23"/>
      <c r="H232" s="23"/>
      <c r="I232" s="23"/>
    </row>
    <row r="233" spans="1:9">
      <c r="A233" s="23"/>
      <c r="B233" s="23"/>
      <c r="C233" s="23"/>
      <c r="D233" s="23"/>
      <c r="E233" s="23"/>
      <c r="F233" s="23"/>
      <c r="G233" s="23"/>
      <c r="H233" s="23"/>
      <c r="I233" s="23"/>
    </row>
    <row r="234" spans="1:9">
      <c r="A234" s="23"/>
      <c r="B234" s="23"/>
      <c r="C234" s="23"/>
      <c r="D234" s="23"/>
      <c r="E234" s="23"/>
      <c r="F234" s="23"/>
      <c r="G234" s="23"/>
      <c r="H234" s="23"/>
      <c r="I234" s="23"/>
    </row>
    <row r="235" spans="1:9">
      <c r="A235" s="23"/>
      <c r="B235" s="23"/>
      <c r="C235" s="23"/>
      <c r="D235" s="23"/>
      <c r="E235" s="23"/>
      <c r="F235" s="23"/>
      <c r="G235" s="23"/>
      <c r="H235" s="23"/>
      <c r="I235" s="23"/>
    </row>
    <row r="236" spans="1:9">
      <c r="A236" s="23"/>
      <c r="B236" s="23"/>
      <c r="C236" s="23"/>
      <c r="D236" s="23"/>
      <c r="E236" s="23"/>
      <c r="F236" s="23"/>
      <c r="G236" s="23"/>
      <c r="H236" s="23"/>
      <c r="I236" s="23"/>
    </row>
    <row r="237" spans="1:9">
      <c r="A237" s="23"/>
      <c r="B237" s="23"/>
      <c r="C237" s="23"/>
      <c r="D237" s="23"/>
      <c r="E237" s="23"/>
      <c r="F237" s="23"/>
      <c r="G237" s="23"/>
      <c r="H237" s="23"/>
      <c r="I237" s="23"/>
    </row>
    <row r="238" spans="1:9">
      <c r="A238" s="23"/>
      <c r="B238" s="23"/>
      <c r="C238" s="23"/>
      <c r="D238" s="23"/>
      <c r="E238" s="23"/>
      <c r="F238" s="23"/>
      <c r="G238" s="23"/>
      <c r="H238" s="23"/>
      <c r="I238" s="23"/>
    </row>
    <row r="239" spans="1:9">
      <c r="A239" s="23"/>
      <c r="B239" s="23"/>
      <c r="C239" s="23"/>
      <c r="D239" s="23"/>
      <c r="E239" s="23"/>
      <c r="F239" s="23"/>
      <c r="G239" s="23"/>
      <c r="H239" s="23"/>
      <c r="I239" s="23"/>
    </row>
    <row r="240" spans="1:9">
      <c r="A240" s="23"/>
      <c r="B240" s="23"/>
      <c r="C240" s="23"/>
      <c r="D240" s="23"/>
      <c r="E240" s="23"/>
      <c r="F240" s="23"/>
      <c r="G240" s="23"/>
      <c r="H240" s="23"/>
      <c r="I240" s="23"/>
    </row>
    <row r="241" spans="1:9">
      <c r="A241" s="23"/>
      <c r="B241" s="23"/>
      <c r="C241" s="23"/>
      <c r="D241" s="23"/>
      <c r="E241" s="23"/>
      <c r="F241" s="23"/>
      <c r="G241" s="23"/>
      <c r="H241" s="23"/>
      <c r="I241" s="23"/>
    </row>
    <row r="242" spans="1:9">
      <c r="A242" s="23"/>
      <c r="B242" s="23"/>
      <c r="C242" s="23"/>
      <c r="D242" s="23"/>
      <c r="E242" s="23"/>
      <c r="F242" s="23"/>
      <c r="G242" s="23"/>
      <c r="H242" s="23"/>
      <c r="I242" s="23"/>
    </row>
    <row r="243" spans="1:9">
      <c r="A243" s="23"/>
      <c r="B243" s="23"/>
      <c r="C243" s="23"/>
      <c r="D243" s="23"/>
      <c r="E243" s="23"/>
      <c r="F243" s="23"/>
      <c r="G243" s="23"/>
      <c r="H243" s="23"/>
      <c r="I243" s="23"/>
    </row>
    <row r="244" spans="1:9">
      <c r="A244" s="23"/>
      <c r="B244" s="23"/>
      <c r="C244" s="23"/>
      <c r="D244" s="23"/>
      <c r="E244" s="23"/>
      <c r="F244" s="23"/>
      <c r="G244" s="23"/>
      <c r="H244" s="23"/>
      <c r="I244" s="23"/>
    </row>
    <row r="245" spans="1:9">
      <c r="A245" s="23"/>
      <c r="B245" s="23"/>
      <c r="C245" s="23"/>
      <c r="D245" s="23"/>
      <c r="E245" s="23"/>
      <c r="F245" s="23"/>
      <c r="G245" s="23"/>
      <c r="H245" s="23"/>
      <c r="I245" s="23"/>
    </row>
    <row r="246" spans="1:9">
      <c r="A246" s="23"/>
      <c r="B246" s="23"/>
      <c r="C246" s="23"/>
      <c r="D246" s="23"/>
      <c r="E246" s="23"/>
      <c r="F246" s="23"/>
      <c r="G246" s="23"/>
      <c r="H246" s="23"/>
      <c r="I246" s="23"/>
    </row>
    <row r="247" spans="1:9">
      <c r="A247" s="23"/>
      <c r="B247" s="23"/>
      <c r="C247" s="23"/>
      <c r="D247" s="23"/>
      <c r="E247" s="23"/>
      <c r="F247" s="23"/>
      <c r="G247" s="23"/>
      <c r="H247" s="23"/>
      <c r="I247" s="23"/>
    </row>
    <row r="248" spans="1:9">
      <c r="A248" s="23"/>
      <c r="B248" s="23"/>
      <c r="C248" s="23"/>
      <c r="D248" s="23"/>
      <c r="E248" s="23"/>
      <c r="F248" s="23"/>
      <c r="G248" s="23"/>
      <c r="H248" s="23"/>
      <c r="I248" s="23"/>
    </row>
    <row r="249" spans="1:9">
      <c r="A249" s="23"/>
      <c r="B249" s="23"/>
      <c r="C249" s="23"/>
      <c r="D249" s="23"/>
      <c r="E249" s="23"/>
      <c r="F249" s="23"/>
      <c r="G249" s="23"/>
      <c r="H249" s="23"/>
      <c r="I249" s="23"/>
    </row>
    <row r="250" spans="1:9">
      <c r="A250" s="23"/>
      <c r="B250" s="23"/>
      <c r="C250" s="23"/>
      <c r="D250" s="23"/>
      <c r="E250" s="23"/>
      <c r="F250" s="23"/>
      <c r="G250" s="23"/>
      <c r="H250" s="23"/>
      <c r="I250" s="23"/>
    </row>
    <row r="251" spans="1:9">
      <c r="A251" s="23"/>
      <c r="B251" s="23"/>
      <c r="C251" s="23"/>
      <c r="D251" s="23"/>
      <c r="E251" s="23"/>
      <c r="F251" s="23"/>
      <c r="G251" s="23"/>
      <c r="H251" s="23"/>
      <c r="I251" s="23"/>
    </row>
    <row r="252" spans="1:9">
      <c r="A252" s="23"/>
      <c r="B252" s="23"/>
      <c r="C252" s="23"/>
      <c r="D252" s="23"/>
      <c r="E252" s="23"/>
      <c r="F252" s="23"/>
      <c r="G252" s="23"/>
      <c r="H252" s="23"/>
      <c r="I252" s="23"/>
    </row>
    <row r="253" spans="1:9">
      <c r="A253" s="23"/>
      <c r="B253" s="23"/>
      <c r="C253" s="23"/>
      <c r="D253" s="23"/>
      <c r="E253" s="23"/>
      <c r="F253" s="23"/>
      <c r="G253" s="23"/>
      <c r="H253" s="23"/>
      <c r="I253" s="23"/>
    </row>
    <row r="254" spans="1:9">
      <c r="A254" s="23"/>
      <c r="B254" s="23"/>
      <c r="C254" s="23"/>
      <c r="D254" s="23"/>
      <c r="E254" s="23"/>
      <c r="F254" s="23"/>
      <c r="G254" s="23"/>
      <c r="H254" s="23"/>
      <c r="I254" s="23"/>
    </row>
    <row r="255" spans="1:9">
      <c r="A255" s="23"/>
      <c r="B255" s="23"/>
      <c r="C255" s="23"/>
      <c r="D255" s="23"/>
      <c r="E255" s="23"/>
      <c r="F255" s="23"/>
      <c r="G255" s="23"/>
      <c r="H255" s="23"/>
      <c r="I255" s="23"/>
    </row>
    <row r="256" spans="1:9">
      <c r="A256" s="23"/>
      <c r="B256" s="23"/>
      <c r="C256" s="23"/>
      <c r="D256" s="23"/>
      <c r="E256" s="23"/>
      <c r="F256" s="23"/>
      <c r="G256" s="23"/>
      <c r="H256" s="23"/>
      <c r="I256" s="23"/>
    </row>
    <row r="257" spans="1:9">
      <c r="A257" s="23"/>
      <c r="B257" s="23"/>
      <c r="C257" s="23"/>
      <c r="D257" s="23"/>
      <c r="E257" s="23"/>
      <c r="F257" s="23"/>
      <c r="G257" s="23"/>
      <c r="H257" s="23"/>
      <c r="I257" s="23"/>
    </row>
    <row r="258" spans="1:9">
      <c r="A258" s="23"/>
      <c r="B258" s="23"/>
      <c r="C258" s="23"/>
      <c r="D258" s="23"/>
      <c r="E258" s="23"/>
      <c r="F258" s="23"/>
      <c r="G258" s="23"/>
      <c r="H258" s="23"/>
      <c r="I258" s="23"/>
    </row>
    <row r="259" spans="1:9">
      <c r="A259" s="23"/>
      <c r="B259" s="23"/>
      <c r="C259" s="23"/>
      <c r="D259" s="23"/>
      <c r="E259" s="23"/>
      <c r="F259" s="23"/>
      <c r="G259" s="23"/>
      <c r="H259" s="23"/>
      <c r="I259" s="23"/>
    </row>
    <row r="260" spans="1:9">
      <c r="A260" s="23"/>
      <c r="B260" s="23"/>
      <c r="C260" s="23"/>
      <c r="D260" s="23"/>
      <c r="E260" s="23"/>
      <c r="F260" s="23"/>
      <c r="G260" s="23"/>
      <c r="H260" s="23"/>
      <c r="I260" s="23"/>
    </row>
    <row r="261" spans="1:9">
      <c r="A261" s="23"/>
      <c r="B261" s="23"/>
      <c r="C261" s="23"/>
      <c r="D261" s="23"/>
      <c r="E261" s="23"/>
      <c r="F261" s="23"/>
      <c r="G261" s="23"/>
      <c r="H261" s="23"/>
      <c r="I261" s="23"/>
    </row>
    <row r="262" spans="1:9">
      <c r="A262" s="23"/>
      <c r="B262" s="23"/>
      <c r="C262" s="23"/>
      <c r="D262" s="23"/>
      <c r="E262" s="23"/>
      <c r="F262" s="23"/>
      <c r="G262" s="23"/>
      <c r="H262" s="23"/>
      <c r="I262" s="23"/>
    </row>
    <row r="263" spans="1:9">
      <c r="A263" s="23"/>
      <c r="B263" s="23"/>
      <c r="C263" s="23"/>
      <c r="D263" s="23"/>
      <c r="E263" s="23"/>
      <c r="F263" s="23"/>
      <c r="G263" s="23"/>
      <c r="H263" s="23"/>
      <c r="I263" s="23"/>
    </row>
    <row r="264" spans="1:9">
      <c r="A264" s="23"/>
      <c r="B264" s="23"/>
      <c r="C264" s="23"/>
      <c r="D264" s="23"/>
      <c r="E264" s="23"/>
      <c r="F264" s="23"/>
      <c r="G264" s="23"/>
      <c r="H264" s="23"/>
      <c r="I264" s="23"/>
    </row>
    <row r="265" spans="1:9">
      <c r="A265" s="23"/>
      <c r="B265" s="23"/>
      <c r="C265" s="23"/>
      <c r="D265" s="23"/>
      <c r="E265" s="23"/>
      <c r="F265" s="23"/>
      <c r="G265" s="23"/>
      <c r="H265" s="23"/>
      <c r="I265" s="23"/>
    </row>
    <row r="266" spans="1:9">
      <c r="A266" s="23"/>
      <c r="B266" s="23"/>
      <c r="C266" s="23"/>
      <c r="D266" s="23"/>
      <c r="E266" s="23"/>
      <c r="F266" s="23"/>
      <c r="G266" s="23"/>
      <c r="H266" s="23"/>
      <c r="I266" s="23"/>
    </row>
    <row r="267" spans="1:9">
      <c r="A267" s="23"/>
      <c r="B267" s="23"/>
      <c r="C267" s="23"/>
      <c r="D267" s="23"/>
      <c r="E267" s="23"/>
      <c r="F267" s="23"/>
      <c r="G267" s="23"/>
      <c r="H267" s="23"/>
      <c r="I267" s="23"/>
    </row>
    <row r="268" spans="1:9">
      <c r="A268" s="23"/>
      <c r="B268" s="23"/>
      <c r="C268" s="23"/>
      <c r="D268" s="23"/>
      <c r="E268" s="23"/>
      <c r="F268" s="23"/>
      <c r="G268" s="23"/>
      <c r="H268" s="23"/>
      <c r="I268" s="23"/>
    </row>
    <row r="269" spans="1:9">
      <c r="A269" s="23"/>
      <c r="B269" s="23"/>
      <c r="C269" s="23"/>
      <c r="D269" s="23"/>
      <c r="E269" s="23"/>
      <c r="F269" s="23"/>
      <c r="G269" s="23"/>
      <c r="H269" s="23"/>
      <c r="I269" s="23"/>
    </row>
    <row r="270" spans="1:9">
      <c r="A270" s="23"/>
      <c r="B270" s="23"/>
      <c r="C270" s="23"/>
      <c r="D270" s="23"/>
      <c r="E270" s="23"/>
      <c r="F270" s="23"/>
      <c r="G270" s="23"/>
      <c r="H270" s="23"/>
      <c r="I270" s="23"/>
    </row>
    <row r="271" spans="1:9">
      <c r="A271" s="23"/>
      <c r="B271" s="23"/>
      <c r="C271" s="23"/>
      <c r="D271" s="23"/>
      <c r="E271" s="23"/>
      <c r="F271" s="23"/>
      <c r="G271" s="23"/>
      <c r="H271" s="23"/>
      <c r="I271" s="23"/>
    </row>
    <row r="272" spans="1:9">
      <c r="A272" s="23"/>
      <c r="B272" s="23"/>
      <c r="C272" s="23"/>
      <c r="D272" s="23"/>
      <c r="E272" s="23"/>
      <c r="F272" s="23"/>
      <c r="G272" s="23"/>
      <c r="H272" s="23"/>
      <c r="I272" s="23"/>
    </row>
    <row r="273" spans="1:9">
      <c r="A273" s="23"/>
      <c r="B273" s="23"/>
      <c r="C273" s="23"/>
      <c r="D273" s="23"/>
      <c r="E273" s="23"/>
      <c r="F273" s="23"/>
      <c r="G273" s="23"/>
      <c r="H273" s="23"/>
      <c r="I273" s="23"/>
    </row>
    <row r="274" spans="1:9">
      <c r="A274" s="23"/>
      <c r="B274" s="23"/>
      <c r="C274" s="23"/>
      <c r="D274" s="23"/>
      <c r="E274" s="23"/>
      <c r="F274" s="23"/>
      <c r="G274" s="23"/>
      <c r="H274" s="23"/>
      <c r="I274" s="23"/>
    </row>
    <row r="275" spans="1:9">
      <c r="A275" s="23"/>
      <c r="B275" s="23"/>
      <c r="C275" s="23"/>
      <c r="D275" s="23"/>
      <c r="E275" s="23"/>
      <c r="F275" s="23"/>
      <c r="G275" s="23"/>
      <c r="H275" s="23"/>
      <c r="I275" s="23"/>
    </row>
    <row r="276" spans="1:9">
      <c r="A276" s="23"/>
      <c r="B276" s="23"/>
      <c r="C276" s="23"/>
      <c r="D276" s="23"/>
      <c r="E276" s="23"/>
      <c r="F276" s="23"/>
      <c r="G276" s="23"/>
      <c r="H276" s="23"/>
      <c r="I276" s="23"/>
    </row>
    <row r="277" spans="1:9">
      <c r="A277" s="23"/>
      <c r="B277" s="23"/>
      <c r="C277" s="23"/>
      <c r="D277" s="23"/>
      <c r="E277" s="23"/>
      <c r="F277" s="23"/>
      <c r="G277" s="23"/>
      <c r="H277" s="23"/>
      <c r="I277" s="23"/>
    </row>
    <row r="278" spans="1:9">
      <c r="A278" s="23"/>
      <c r="B278" s="23"/>
      <c r="C278" s="23"/>
      <c r="D278" s="23"/>
      <c r="E278" s="23"/>
      <c r="F278" s="23"/>
      <c r="G278" s="23"/>
      <c r="H278" s="23"/>
      <c r="I278" s="23"/>
    </row>
    <row r="279" spans="1:9">
      <c r="A279" s="23"/>
      <c r="B279" s="23"/>
      <c r="C279" s="23"/>
      <c r="D279" s="23"/>
      <c r="E279" s="23"/>
      <c r="F279" s="23"/>
      <c r="G279" s="23"/>
      <c r="H279" s="23"/>
      <c r="I279" s="23"/>
    </row>
    <row r="280" spans="1:9">
      <c r="A280" s="23"/>
      <c r="B280" s="23"/>
      <c r="C280" s="23"/>
      <c r="D280" s="23"/>
      <c r="E280" s="23"/>
      <c r="F280" s="23"/>
      <c r="G280" s="23"/>
      <c r="H280" s="23"/>
      <c r="I280" s="23"/>
    </row>
    <row r="281" spans="1:9">
      <c r="A281" s="23"/>
      <c r="B281" s="23"/>
      <c r="C281" s="23"/>
      <c r="D281" s="23"/>
      <c r="E281" s="23"/>
      <c r="F281" s="23"/>
      <c r="G281" s="23"/>
      <c r="H281" s="23"/>
      <c r="I281" s="23"/>
    </row>
    <row r="282" spans="1:9">
      <c r="A282" s="23"/>
      <c r="B282" s="23"/>
      <c r="C282" s="23"/>
      <c r="D282" s="23"/>
      <c r="E282" s="23"/>
      <c r="F282" s="23"/>
      <c r="G282" s="23"/>
      <c r="H282" s="23"/>
      <c r="I282" s="23"/>
    </row>
    <row r="283" spans="1:9">
      <c r="A283" s="23"/>
      <c r="B283" s="23"/>
      <c r="C283" s="23"/>
      <c r="D283" s="23"/>
      <c r="E283" s="23"/>
      <c r="F283" s="23"/>
      <c r="G283" s="23"/>
      <c r="H283" s="23"/>
      <c r="I283" s="23"/>
    </row>
    <row r="284" spans="1:9">
      <c r="A284" s="23"/>
      <c r="B284" s="23"/>
      <c r="C284" s="23"/>
      <c r="D284" s="23"/>
      <c r="E284" s="23"/>
      <c r="F284" s="23"/>
      <c r="G284" s="23"/>
      <c r="H284" s="23"/>
      <c r="I284" s="23"/>
    </row>
    <row r="285" spans="1:9">
      <c r="A285" s="23"/>
      <c r="B285" s="23"/>
      <c r="C285" s="23"/>
      <c r="D285" s="23"/>
      <c r="E285" s="23"/>
      <c r="F285" s="23"/>
      <c r="G285" s="23"/>
      <c r="H285" s="23"/>
      <c r="I285" s="23"/>
    </row>
    <row r="286" spans="1:9">
      <c r="A286" s="23"/>
      <c r="B286" s="23"/>
      <c r="C286" s="23"/>
      <c r="D286" s="23"/>
      <c r="E286" s="23"/>
      <c r="F286" s="23"/>
      <c r="G286" s="23"/>
      <c r="H286" s="23"/>
      <c r="I286" s="23"/>
    </row>
    <row r="287" spans="1:9">
      <c r="A287" s="23"/>
      <c r="B287" s="23"/>
      <c r="C287" s="23"/>
      <c r="D287" s="23"/>
      <c r="E287" s="23"/>
      <c r="F287" s="23"/>
      <c r="G287" s="23"/>
      <c r="H287" s="23"/>
      <c r="I287" s="23"/>
    </row>
    <row r="288" spans="1:9">
      <c r="A288" s="23"/>
      <c r="B288" s="23"/>
      <c r="C288" s="23"/>
      <c r="D288" s="23"/>
      <c r="E288" s="23"/>
      <c r="F288" s="23"/>
      <c r="G288" s="23"/>
      <c r="H288" s="23"/>
      <c r="I288" s="23"/>
    </row>
    <row r="289" spans="1:9">
      <c r="A289" s="23"/>
      <c r="B289" s="23"/>
      <c r="C289" s="23"/>
      <c r="D289" s="23"/>
      <c r="E289" s="23"/>
      <c r="F289" s="23"/>
      <c r="G289" s="23"/>
      <c r="H289" s="23"/>
      <c r="I289" s="23"/>
    </row>
    <row r="290" spans="1:9">
      <c r="A290" s="23"/>
      <c r="B290" s="23"/>
      <c r="C290" s="23"/>
      <c r="D290" s="23"/>
      <c r="E290" s="23"/>
      <c r="F290" s="23"/>
      <c r="G290" s="23"/>
      <c r="H290" s="23"/>
      <c r="I290" s="23"/>
    </row>
    <row r="291" spans="1:9">
      <c r="A291" s="23"/>
      <c r="B291" s="23"/>
      <c r="C291" s="23"/>
      <c r="D291" s="23"/>
      <c r="E291" s="23"/>
      <c r="F291" s="23"/>
      <c r="G291" s="23"/>
      <c r="H291" s="23"/>
      <c r="I291" s="23"/>
    </row>
    <row r="292" spans="1:9">
      <c r="A292" s="23"/>
      <c r="B292" s="23"/>
      <c r="C292" s="23"/>
      <c r="D292" s="23"/>
      <c r="E292" s="23"/>
      <c r="F292" s="23"/>
      <c r="G292" s="23"/>
      <c r="H292" s="23"/>
      <c r="I292" s="23"/>
    </row>
    <row r="293" spans="1:9">
      <c r="A293" s="23"/>
      <c r="B293" s="23"/>
      <c r="C293" s="23"/>
      <c r="D293" s="23"/>
      <c r="E293" s="23"/>
      <c r="F293" s="23"/>
      <c r="G293" s="23"/>
      <c r="H293" s="23"/>
      <c r="I293" s="23"/>
    </row>
    <row r="294" spans="1:9">
      <c r="A294" s="23"/>
      <c r="B294" s="23"/>
      <c r="C294" s="23"/>
      <c r="D294" s="23"/>
      <c r="E294" s="23"/>
      <c r="F294" s="23"/>
      <c r="G294" s="23"/>
      <c r="H294" s="23"/>
      <c r="I294" s="23"/>
    </row>
    <row r="295" spans="1:9">
      <c r="A295" s="23"/>
      <c r="B295" s="23"/>
      <c r="C295" s="23"/>
      <c r="D295" s="23"/>
      <c r="E295" s="23"/>
      <c r="F295" s="23"/>
      <c r="G295" s="23"/>
      <c r="H295" s="23"/>
      <c r="I295" s="23"/>
    </row>
    <row r="296" spans="1:9">
      <c r="A296" s="23"/>
      <c r="B296" s="23"/>
      <c r="C296" s="23"/>
      <c r="D296" s="23"/>
      <c r="E296" s="23"/>
      <c r="F296" s="23"/>
      <c r="G296" s="23"/>
      <c r="H296" s="23"/>
      <c r="I296" s="23"/>
    </row>
    <row r="297" spans="1:9">
      <c r="A297" s="23"/>
      <c r="B297" s="23"/>
      <c r="C297" s="23"/>
      <c r="D297" s="23"/>
      <c r="E297" s="23"/>
      <c r="F297" s="23"/>
      <c r="G297" s="23"/>
      <c r="H297" s="23"/>
      <c r="I297" s="23"/>
    </row>
    <row r="298" spans="1:9">
      <c r="A298" s="23"/>
      <c r="B298" s="23"/>
      <c r="C298" s="23"/>
      <c r="D298" s="23"/>
      <c r="E298" s="23"/>
      <c r="F298" s="23"/>
      <c r="G298" s="23"/>
      <c r="H298" s="23"/>
      <c r="I298" s="23"/>
    </row>
    <row r="299" spans="1:9">
      <c r="A299" s="23"/>
      <c r="B299" s="23"/>
      <c r="C299" s="23"/>
      <c r="D299" s="23"/>
      <c r="E299" s="23"/>
      <c r="F299" s="23"/>
      <c r="G299" s="23"/>
      <c r="H299" s="23"/>
      <c r="I299" s="23"/>
    </row>
    <row r="300" spans="1:9">
      <c r="A300" s="23"/>
      <c r="B300" s="23"/>
      <c r="C300" s="23"/>
      <c r="D300" s="23"/>
      <c r="E300" s="23"/>
      <c r="F300" s="23"/>
      <c r="G300" s="23"/>
      <c r="H300" s="23"/>
      <c r="I300" s="23"/>
    </row>
    <row r="301" spans="1:9">
      <c r="A301" s="23"/>
      <c r="B301" s="23"/>
      <c r="C301" s="23"/>
      <c r="D301" s="23"/>
      <c r="E301" s="23"/>
      <c r="F301" s="23"/>
      <c r="G301" s="23"/>
      <c r="H301" s="23"/>
      <c r="I301" s="23"/>
    </row>
    <row r="302" spans="1:9">
      <c r="A302" s="23"/>
      <c r="B302" s="23"/>
      <c r="C302" s="23"/>
      <c r="D302" s="23"/>
      <c r="E302" s="23"/>
      <c r="F302" s="23"/>
      <c r="G302" s="23"/>
      <c r="H302" s="23"/>
      <c r="I302" s="23"/>
    </row>
    <row r="303" spans="1:9">
      <c r="A303" s="23"/>
      <c r="B303" s="23"/>
      <c r="C303" s="23"/>
      <c r="D303" s="23"/>
      <c r="E303" s="23"/>
      <c r="F303" s="23"/>
      <c r="G303" s="23"/>
      <c r="H303" s="23"/>
      <c r="I303" s="23"/>
    </row>
    <row r="304" spans="1:9">
      <c r="A304" s="23"/>
      <c r="B304" s="23"/>
      <c r="C304" s="23"/>
      <c r="D304" s="23"/>
      <c r="E304" s="23"/>
      <c r="F304" s="23"/>
      <c r="G304" s="23"/>
      <c r="H304" s="23"/>
      <c r="I304" s="23"/>
    </row>
    <row r="305" spans="1:9">
      <c r="A305" s="23"/>
      <c r="B305" s="23"/>
      <c r="C305" s="23"/>
      <c r="D305" s="23"/>
      <c r="E305" s="23"/>
      <c r="F305" s="23"/>
      <c r="G305" s="23"/>
      <c r="H305" s="23"/>
      <c r="I305" s="23"/>
    </row>
    <row r="306" spans="1:9">
      <c r="A306" s="23"/>
      <c r="B306" s="23"/>
      <c r="C306" s="23"/>
      <c r="D306" s="23"/>
      <c r="E306" s="23"/>
      <c r="F306" s="23"/>
      <c r="G306" s="23"/>
      <c r="H306" s="23"/>
      <c r="I306" s="23"/>
    </row>
    <row r="307" spans="1:9">
      <c r="A307" s="23"/>
      <c r="B307" s="23"/>
      <c r="C307" s="23"/>
      <c r="D307" s="23"/>
      <c r="E307" s="23"/>
      <c r="F307" s="23"/>
      <c r="G307" s="23"/>
      <c r="H307" s="23"/>
      <c r="I307" s="23"/>
    </row>
    <row r="308" spans="1:9">
      <c r="A308" s="23"/>
      <c r="B308" s="23"/>
      <c r="C308" s="23"/>
      <c r="D308" s="23"/>
      <c r="E308" s="23"/>
      <c r="F308" s="23"/>
      <c r="G308" s="23"/>
      <c r="H308" s="23"/>
      <c r="I308" s="23"/>
    </row>
    <row r="309" spans="1:9">
      <c r="A309" s="23"/>
      <c r="B309" s="23"/>
      <c r="C309" s="23"/>
      <c r="D309" s="23"/>
      <c r="E309" s="23"/>
      <c r="F309" s="23"/>
      <c r="G309" s="23"/>
      <c r="H309" s="23"/>
      <c r="I309" s="23"/>
    </row>
    <row r="310" spans="1:9">
      <c r="A310" s="23"/>
      <c r="B310" s="23"/>
      <c r="C310" s="23"/>
      <c r="D310" s="23"/>
      <c r="E310" s="23"/>
      <c r="F310" s="23"/>
      <c r="G310" s="23"/>
      <c r="H310" s="23"/>
      <c r="I310" s="23"/>
    </row>
    <row r="311" spans="1:9">
      <c r="A311" s="23"/>
      <c r="B311" s="23"/>
      <c r="C311" s="23"/>
      <c r="D311" s="23"/>
      <c r="E311" s="23"/>
      <c r="F311" s="23"/>
      <c r="G311" s="23"/>
      <c r="H311" s="23"/>
      <c r="I311" s="23"/>
    </row>
    <row r="312" spans="1:9">
      <c r="A312" s="23"/>
      <c r="B312" s="23"/>
      <c r="C312" s="23"/>
      <c r="D312" s="23"/>
      <c r="E312" s="23"/>
      <c r="F312" s="23"/>
      <c r="G312" s="23"/>
      <c r="H312" s="23"/>
      <c r="I312" s="23"/>
    </row>
    <row r="313" spans="1:9">
      <c r="A313" s="23"/>
      <c r="B313" s="23"/>
      <c r="C313" s="23"/>
      <c r="D313" s="23"/>
      <c r="E313" s="23"/>
      <c r="F313" s="23"/>
      <c r="G313" s="23"/>
      <c r="H313" s="23"/>
      <c r="I313" s="23"/>
    </row>
    <row r="314" spans="1:9">
      <c r="A314" s="23"/>
      <c r="B314" s="23"/>
      <c r="C314" s="23"/>
      <c r="D314" s="23"/>
      <c r="E314" s="23"/>
      <c r="F314" s="23"/>
      <c r="G314" s="23"/>
      <c r="H314" s="23"/>
      <c r="I314" s="23"/>
    </row>
    <row r="315" spans="1:9">
      <c r="A315" s="23"/>
      <c r="B315" s="23"/>
      <c r="C315" s="23"/>
      <c r="D315" s="23"/>
      <c r="E315" s="23"/>
      <c r="F315" s="23"/>
      <c r="G315" s="23"/>
      <c r="H315" s="23"/>
      <c r="I315" s="23"/>
    </row>
    <row r="316" spans="1:9">
      <c r="A316" s="23"/>
      <c r="B316" s="23"/>
      <c r="C316" s="23"/>
      <c r="D316" s="23"/>
      <c r="E316" s="23"/>
      <c r="F316" s="23"/>
      <c r="G316" s="23"/>
      <c r="H316" s="23"/>
      <c r="I316" s="23"/>
    </row>
    <row r="317" spans="1:9">
      <c r="A317" s="23"/>
      <c r="B317" s="23"/>
      <c r="C317" s="23"/>
      <c r="D317" s="23"/>
      <c r="E317" s="23"/>
      <c r="F317" s="23"/>
      <c r="G317" s="23"/>
      <c r="H317" s="23"/>
      <c r="I317" s="23"/>
    </row>
    <row r="318" spans="1:9">
      <c r="A318" s="23"/>
      <c r="B318" s="23"/>
      <c r="C318" s="23"/>
      <c r="D318" s="23"/>
      <c r="E318" s="23"/>
      <c r="F318" s="23"/>
      <c r="G318" s="23"/>
      <c r="H318" s="23"/>
      <c r="I318" s="23"/>
    </row>
    <row r="319" spans="1:9">
      <c r="A319" s="23"/>
      <c r="B319" s="23"/>
      <c r="C319" s="23"/>
      <c r="D319" s="23"/>
      <c r="E319" s="23"/>
      <c r="F319" s="23"/>
      <c r="G319" s="23"/>
      <c r="H319" s="23"/>
      <c r="I319" s="23"/>
    </row>
    <row r="320" spans="1:9">
      <c r="A320" s="23"/>
      <c r="B320" s="23"/>
      <c r="C320" s="23"/>
      <c r="D320" s="23"/>
      <c r="E320" s="23"/>
      <c r="F320" s="23"/>
      <c r="G320" s="23"/>
      <c r="H320" s="23"/>
      <c r="I320" s="23"/>
    </row>
    <row r="321" spans="1:9">
      <c r="A321" s="23"/>
      <c r="B321" s="23"/>
      <c r="C321" s="23"/>
      <c r="D321" s="23"/>
      <c r="E321" s="23"/>
      <c r="F321" s="23"/>
      <c r="G321" s="23"/>
      <c r="H321" s="23"/>
      <c r="I321" s="23"/>
    </row>
    <row r="322" spans="1:9">
      <c r="A322" s="23"/>
      <c r="B322" s="23"/>
      <c r="C322" s="23"/>
      <c r="D322" s="23"/>
      <c r="E322" s="23"/>
      <c r="F322" s="23"/>
      <c r="G322" s="23"/>
      <c r="H322" s="23"/>
      <c r="I322" s="23"/>
    </row>
    <row r="323" spans="1:9">
      <c r="A323" s="23"/>
      <c r="B323" s="23"/>
      <c r="C323" s="23"/>
      <c r="D323" s="23"/>
      <c r="E323" s="23"/>
      <c r="F323" s="23"/>
      <c r="G323" s="23"/>
      <c r="H323" s="23"/>
      <c r="I323" s="23"/>
    </row>
    <row r="324" spans="1:9">
      <c r="A324" s="23"/>
      <c r="B324" s="23"/>
      <c r="C324" s="23"/>
      <c r="D324" s="23"/>
      <c r="E324" s="23"/>
      <c r="F324" s="23"/>
      <c r="G324" s="23"/>
      <c r="H324" s="23"/>
      <c r="I324" s="23"/>
    </row>
    <row r="325" spans="1:9">
      <c r="A325" s="23"/>
      <c r="B325" s="23"/>
      <c r="C325" s="23"/>
      <c r="D325" s="23"/>
      <c r="E325" s="23"/>
      <c r="F325" s="23"/>
      <c r="G325" s="23"/>
      <c r="H325" s="23"/>
      <c r="I325" s="23"/>
    </row>
    <row r="326" spans="1:9">
      <c r="A326" s="23"/>
      <c r="B326" s="23"/>
      <c r="C326" s="23"/>
      <c r="D326" s="23"/>
      <c r="E326" s="23"/>
      <c r="F326" s="23"/>
      <c r="G326" s="23"/>
      <c r="H326" s="23"/>
      <c r="I326" s="23"/>
    </row>
    <row r="327" spans="1:9">
      <c r="A327" s="23"/>
      <c r="B327" s="23"/>
      <c r="C327" s="23"/>
      <c r="D327" s="23"/>
      <c r="E327" s="23"/>
      <c r="F327" s="23"/>
      <c r="G327" s="23"/>
      <c r="H327" s="23"/>
      <c r="I327" s="23"/>
    </row>
    <row r="328" spans="1:9">
      <c r="A328" s="23"/>
      <c r="B328" s="23"/>
      <c r="C328" s="23"/>
      <c r="D328" s="23"/>
      <c r="E328" s="23"/>
      <c r="F328" s="23"/>
      <c r="G328" s="23"/>
      <c r="H328" s="23"/>
      <c r="I328" s="23"/>
    </row>
    <row r="329" spans="1:9">
      <c r="A329" s="23"/>
      <c r="B329" s="23"/>
      <c r="C329" s="23"/>
      <c r="D329" s="23"/>
      <c r="E329" s="23"/>
      <c r="F329" s="23"/>
      <c r="G329" s="23"/>
      <c r="H329" s="23"/>
      <c r="I329" s="23"/>
    </row>
    <row r="330" spans="1:9">
      <c r="A330" s="23"/>
      <c r="B330" s="23"/>
      <c r="C330" s="23"/>
      <c r="D330" s="23"/>
      <c r="E330" s="23"/>
      <c r="F330" s="23"/>
      <c r="G330" s="23"/>
      <c r="H330" s="23"/>
      <c r="I330" s="23"/>
    </row>
    <row r="331" spans="1:9">
      <c r="A331" s="23"/>
      <c r="B331" s="23"/>
      <c r="C331" s="23"/>
      <c r="D331" s="23"/>
      <c r="E331" s="23"/>
      <c r="F331" s="23"/>
      <c r="G331" s="23"/>
      <c r="H331" s="23"/>
      <c r="I331" s="23"/>
    </row>
    <row r="332" spans="1:9">
      <c r="A332" s="23"/>
      <c r="B332" s="23"/>
      <c r="C332" s="23"/>
      <c r="D332" s="23"/>
      <c r="E332" s="23"/>
      <c r="F332" s="23"/>
      <c r="G332" s="23"/>
      <c r="H332" s="23"/>
      <c r="I332" s="23"/>
    </row>
    <row r="333" spans="1:9">
      <c r="A333" s="23"/>
      <c r="B333" s="23"/>
      <c r="C333" s="23"/>
      <c r="D333" s="23"/>
      <c r="E333" s="23"/>
      <c r="F333" s="23"/>
      <c r="G333" s="23"/>
      <c r="H333" s="23"/>
      <c r="I333" s="23"/>
    </row>
    <row r="334" spans="1:9">
      <c r="A334" s="23"/>
      <c r="B334" s="23"/>
      <c r="C334" s="23"/>
      <c r="D334" s="23"/>
      <c r="E334" s="23"/>
      <c r="F334" s="23"/>
      <c r="G334" s="23"/>
      <c r="H334" s="23"/>
      <c r="I334" s="23"/>
    </row>
    <row r="335" spans="1:9">
      <c r="A335" s="23"/>
      <c r="B335" s="23"/>
      <c r="C335" s="23"/>
      <c r="D335" s="23"/>
      <c r="E335" s="23"/>
      <c r="F335" s="23"/>
      <c r="G335" s="23"/>
      <c r="H335" s="23"/>
      <c r="I335" s="23"/>
    </row>
    <row r="336" spans="1:9">
      <c r="A336" s="23"/>
      <c r="B336" s="23"/>
      <c r="C336" s="23"/>
      <c r="D336" s="23"/>
      <c r="E336" s="23"/>
      <c r="F336" s="23"/>
      <c r="G336" s="23"/>
      <c r="H336" s="23"/>
      <c r="I336" s="23"/>
    </row>
    <row r="337" spans="1:9">
      <c r="A337" s="23"/>
      <c r="B337" s="23"/>
      <c r="C337" s="23"/>
      <c r="D337" s="23"/>
      <c r="E337" s="23"/>
      <c r="F337" s="23"/>
      <c r="G337" s="23"/>
      <c r="H337" s="23"/>
      <c r="I337" s="23"/>
    </row>
    <row r="338" spans="1:9">
      <c r="A338" s="23"/>
      <c r="B338" s="23"/>
      <c r="C338" s="23"/>
      <c r="D338" s="23"/>
      <c r="E338" s="23"/>
      <c r="F338" s="23"/>
      <c r="G338" s="23"/>
      <c r="H338" s="23"/>
      <c r="I338" s="23"/>
    </row>
    <row r="339" spans="1:9">
      <c r="A339" s="23"/>
      <c r="B339" s="23"/>
      <c r="C339" s="23"/>
      <c r="D339" s="23"/>
      <c r="E339" s="23"/>
      <c r="F339" s="23"/>
      <c r="G339" s="23"/>
      <c r="H339" s="23"/>
      <c r="I339" s="23"/>
    </row>
    <row r="340" spans="1:9">
      <c r="A340" s="23"/>
      <c r="B340" s="23"/>
      <c r="C340" s="23"/>
      <c r="D340" s="23"/>
      <c r="E340" s="23"/>
      <c r="F340" s="23"/>
      <c r="G340" s="23"/>
      <c r="H340" s="23"/>
      <c r="I340" s="23"/>
    </row>
    <row r="341" spans="1:9">
      <c r="A341" s="23"/>
      <c r="B341" s="23"/>
      <c r="C341" s="23"/>
      <c r="D341" s="23"/>
      <c r="E341" s="23"/>
      <c r="F341" s="23"/>
      <c r="G341" s="23"/>
      <c r="H341" s="23"/>
      <c r="I341" s="23"/>
    </row>
    <row r="342" spans="1:9">
      <c r="A342" s="23"/>
      <c r="B342" s="23"/>
      <c r="C342" s="23"/>
      <c r="D342" s="23"/>
      <c r="E342" s="23"/>
      <c r="F342" s="23"/>
      <c r="G342" s="23"/>
      <c r="H342" s="23"/>
      <c r="I342" s="23"/>
    </row>
    <row r="343" spans="1:9">
      <c r="A343" s="23"/>
      <c r="B343" s="23"/>
      <c r="C343" s="23"/>
      <c r="D343" s="23"/>
      <c r="E343" s="23"/>
      <c r="F343" s="23"/>
      <c r="G343" s="23"/>
      <c r="H343" s="23"/>
      <c r="I343" s="23"/>
    </row>
    <row r="344" spans="1:9">
      <c r="A344" s="23"/>
      <c r="B344" s="23"/>
      <c r="C344" s="23"/>
      <c r="D344" s="23"/>
      <c r="E344" s="23"/>
      <c r="F344" s="23"/>
      <c r="G344" s="23"/>
      <c r="H344" s="23"/>
      <c r="I344" s="23"/>
    </row>
    <row r="345" spans="1:9">
      <c r="A345" s="23"/>
      <c r="B345" s="23"/>
      <c r="C345" s="23"/>
      <c r="D345" s="23"/>
      <c r="E345" s="23"/>
      <c r="F345" s="23"/>
      <c r="G345" s="23"/>
      <c r="H345" s="23"/>
      <c r="I345" s="23"/>
    </row>
    <row r="346" spans="1:9">
      <c r="A346" s="23"/>
      <c r="B346" s="23"/>
      <c r="C346" s="23"/>
      <c r="D346" s="23"/>
      <c r="E346" s="23"/>
      <c r="F346" s="23"/>
      <c r="G346" s="23"/>
      <c r="H346" s="23"/>
      <c r="I346" s="23"/>
    </row>
    <row r="347" spans="1:9">
      <c r="A347" s="23"/>
      <c r="B347" s="23"/>
      <c r="C347" s="23"/>
      <c r="D347" s="23"/>
      <c r="E347" s="23"/>
      <c r="F347" s="23"/>
      <c r="G347" s="23"/>
      <c r="H347" s="23"/>
      <c r="I347" s="23"/>
    </row>
    <row r="348" spans="1:9">
      <c r="A348" s="23"/>
      <c r="B348" s="23"/>
      <c r="C348" s="23"/>
      <c r="D348" s="23"/>
      <c r="E348" s="23"/>
      <c r="F348" s="23"/>
      <c r="G348" s="23"/>
      <c r="H348" s="23"/>
      <c r="I348" s="23"/>
    </row>
    <row r="349" spans="1:9">
      <c r="A349" s="23"/>
      <c r="B349" s="23"/>
      <c r="C349" s="23"/>
      <c r="D349" s="23"/>
      <c r="E349" s="23"/>
      <c r="F349" s="23"/>
      <c r="G349" s="23"/>
      <c r="H349" s="23"/>
      <c r="I349" s="23"/>
    </row>
    <row r="350" spans="1:9">
      <c r="A350" s="23"/>
      <c r="B350" s="23"/>
      <c r="C350" s="23"/>
      <c r="D350" s="23"/>
      <c r="E350" s="23"/>
      <c r="F350" s="23"/>
      <c r="G350" s="23"/>
      <c r="H350" s="23"/>
      <c r="I350" s="23"/>
    </row>
    <row r="351" spans="1:9">
      <c r="A351" s="23"/>
      <c r="B351" s="23"/>
      <c r="C351" s="23"/>
      <c r="D351" s="23"/>
      <c r="E351" s="23"/>
      <c r="F351" s="23"/>
      <c r="G351" s="23"/>
      <c r="H351" s="23"/>
      <c r="I351" s="23"/>
    </row>
    <row r="352" spans="1:9">
      <c r="A352" s="23"/>
      <c r="B352" s="23"/>
      <c r="C352" s="23"/>
      <c r="D352" s="23"/>
      <c r="E352" s="23"/>
      <c r="F352" s="23"/>
      <c r="G352" s="23"/>
      <c r="H352" s="23"/>
      <c r="I352" s="23"/>
    </row>
    <row r="353" spans="1:9">
      <c r="A353" s="23"/>
      <c r="B353" s="23"/>
      <c r="C353" s="23"/>
      <c r="D353" s="23"/>
      <c r="E353" s="23"/>
      <c r="F353" s="23"/>
      <c r="G353" s="23"/>
      <c r="H353" s="23"/>
      <c r="I353" s="23"/>
    </row>
    <row r="354" spans="1:9">
      <c r="A354" s="23"/>
      <c r="B354" s="23"/>
      <c r="C354" s="23"/>
      <c r="D354" s="23"/>
      <c r="E354" s="23"/>
      <c r="F354" s="23"/>
      <c r="G354" s="23"/>
      <c r="H354" s="23"/>
      <c r="I354" s="23"/>
    </row>
    <row r="355" spans="1:9">
      <c r="A355" s="23"/>
      <c r="B355" s="23"/>
      <c r="C355" s="23"/>
      <c r="D355" s="23"/>
      <c r="E355" s="23"/>
      <c r="F355" s="23"/>
      <c r="G355" s="23"/>
      <c r="H355" s="23"/>
      <c r="I355" s="23"/>
    </row>
    <row r="356" spans="1:9">
      <c r="A356" s="23"/>
      <c r="B356" s="23"/>
      <c r="C356" s="23"/>
      <c r="D356" s="23"/>
      <c r="E356" s="23"/>
      <c r="F356" s="23"/>
      <c r="G356" s="23"/>
      <c r="H356" s="23"/>
      <c r="I356" s="23"/>
    </row>
    <row r="357" spans="1:9">
      <c r="A357" s="23"/>
      <c r="B357" s="23"/>
      <c r="C357" s="23"/>
      <c r="D357" s="23"/>
      <c r="E357" s="23"/>
      <c r="F357" s="23"/>
      <c r="G357" s="23"/>
      <c r="H357" s="23"/>
      <c r="I357" s="23"/>
    </row>
    <row r="358" spans="1:9">
      <c r="A358" s="23"/>
      <c r="B358" s="23"/>
      <c r="C358" s="23"/>
      <c r="D358" s="23"/>
      <c r="E358" s="23"/>
      <c r="F358" s="23"/>
      <c r="G358" s="23"/>
      <c r="H358" s="23"/>
      <c r="I358" s="23"/>
    </row>
    <row r="359" spans="1:9">
      <c r="A359" s="23"/>
      <c r="B359" s="23"/>
      <c r="C359" s="23"/>
      <c r="D359" s="23"/>
      <c r="E359" s="23"/>
      <c r="F359" s="23"/>
      <c r="G359" s="23"/>
      <c r="H359" s="23"/>
      <c r="I359" s="23"/>
    </row>
    <row r="360" spans="1:9">
      <c r="A360" s="23"/>
      <c r="B360" s="23"/>
      <c r="C360" s="23"/>
      <c r="D360" s="23"/>
      <c r="E360" s="23"/>
      <c r="F360" s="23"/>
      <c r="G360" s="23"/>
      <c r="H360" s="23"/>
      <c r="I360" s="23"/>
    </row>
    <row r="361" spans="1:9">
      <c r="A361" s="23"/>
      <c r="B361" s="23"/>
      <c r="C361" s="23"/>
      <c r="D361" s="23"/>
      <c r="E361" s="23"/>
      <c r="F361" s="23"/>
      <c r="G361" s="23"/>
      <c r="H361" s="23"/>
      <c r="I361" s="23"/>
    </row>
    <row r="362" spans="1:9">
      <c r="A362" s="23"/>
      <c r="B362" s="23"/>
      <c r="C362" s="23"/>
      <c r="D362" s="23"/>
      <c r="E362" s="23"/>
      <c r="F362" s="23"/>
      <c r="G362" s="23"/>
      <c r="H362" s="23"/>
      <c r="I362" s="23"/>
    </row>
    <row r="363" spans="1:9">
      <c r="A363" s="23"/>
      <c r="B363" s="23"/>
      <c r="C363" s="23"/>
      <c r="D363" s="23"/>
      <c r="E363" s="23"/>
      <c r="F363" s="23"/>
      <c r="G363" s="23"/>
      <c r="H363" s="23"/>
      <c r="I363" s="23"/>
    </row>
    <row r="364" spans="1:9">
      <c r="A364" s="23"/>
      <c r="B364" s="23"/>
      <c r="C364" s="23"/>
      <c r="D364" s="23"/>
      <c r="E364" s="23"/>
      <c r="F364" s="23"/>
      <c r="G364" s="23"/>
      <c r="H364" s="23"/>
      <c r="I364" s="23"/>
    </row>
    <row r="365" spans="1:9">
      <c r="A365" s="23"/>
      <c r="B365" s="23"/>
      <c r="C365" s="23"/>
      <c r="D365" s="23"/>
      <c r="E365" s="23"/>
      <c r="F365" s="23"/>
      <c r="G365" s="23"/>
      <c r="H365" s="23"/>
      <c r="I365" s="23"/>
    </row>
    <row r="366" spans="1:9">
      <c r="A366" s="23"/>
      <c r="B366" s="23"/>
      <c r="C366" s="23"/>
      <c r="D366" s="23"/>
      <c r="E366" s="23"/>
      <c r="F366" s="23"/>
      <c r="G366" s="23"/>
      <c r="H366" s="23"/>
      <c r="I366" s="23"/>
    </row>
    <row r="367" spans="1:9">
      <c r="A367" s="23"/>
      <c r="B367" s="23"/>
      <c r="C367" s="23"/>
      <c r="D367" s="23"/>
      <c r="E367" s="23"/>
      <c r="F367" s="23"/>
      <c r="G367" s="23"/>
      <c r="H367" s="23"/>
      <c r="I367" s="23"/>
    </row>
    <row r="368" spans="1:9">
      <c r="A368" s="23"/>
      <c r="B368" s="23"/>
      <c r="C368" s="23"/>
      <c r="D368" s="23"/>
      <c r="E368" s="23"/>
      <c r="F368" s="23"/>
      <c r="G368" s="23"/>
      <c r="H368" s="23"/>
      <c r="I368" s="23"/>
    </row>
    <row r="369" spans="1:9">
      <c r="A369" s="23"/>
      <c r="B369" s="23"/>
      <c r="C369" s="23"/>
      <c r="D369" s="23"/>
      <c r="E369" s="23"/>
      <c r="F369" s="23"/>
      <c r="G369" s="23"/>
      <c r="H369" s="23"/>
      <c r="I369" s="23"/>
    </row>
    <row r="370" spans="1:9">
      <c r="A370" s="23"/>
      <c r="B370" s="23"/>
      <c r="C370" s="23"/>
      <c r="D370" s="23"/>
      <c r="E370" s="23"/>
      <c r="F370" s="23"/>
      <c r="G370" s="23"/>
      <c r="H370" s="23"/>
      <c r="I370" s="23"/>
    </row>
    <row r="371" spans="1:9">
      <c r="A371" s="23"/>
      <c r="B371" s="23"/>
      <c r="C371" s="23"/>
      <c r="D371" s="23"/>
      <c r="E371" s="23"/>
      <c r="F371" s="23"/>
      <c r="G371" s="23"/>
      <c r="H371" s="23"/>
      <c r="I371" s="23"/>
    </row>
    <row r="372" spans="1:9">
      <c r="A372" s="23"/>
      <c r="B372" s="23"/>
      <c r="C372" s="23"/>
      <c r="D372" s="23"/>
      <c r="E372" s="23"/>
      <c r="F372" s="23"/>
      <c r="G372" s="23"/>
      <c r="H372" s="23"/>
      <c r="I372" s="23"/>
    </row>
    <row r="373" spans="1:9">
      <c r="A373" s="23"/>
      <c r="B373" s="23"/>
      <c r="C373" s="23"/>
      <c r="D373" s="23"/>
      <c r="E373" s="23"/>
      <c r="F373" s="23"/>
      <c r="G373" s="23"/>
      <c r="H373" s="23"/>
      <c r="I373" s="23"/>
    </row>
    <row r="374" spans="1:9">
      <c r="A374" s="23"/>
      <c r="B374" s="23"/>
      <c r="C374" s="23"/>
      <c r="D374" s="23"/>
      <c r="E374" s="23"/>
      <c r="F374" s="23"/>
      <c r="G374" s="23"/>
      <c r="H374" s="23"/>
      <c r="I374" s="23"/>
    </row>
    <row r="375" spans="1:9">
      <c r="A375" s="23"/>
      <c r="B375" s="23"/>
      <c r="C375" s="23"/>
      <c r="D375" s="23"/>
      <c r="E375" s="23"/>
      <c r="F375" s="23"/>
      <c r="G375" s="23"/>
      <c r="H375" s="23"/>
      <c r="I375" s="23"/>
    </row>
    <row r="376" spans="1:9">
      <c r="A376" s="23"/>
      <c r="B376" s="23"/>
      <c r="C376" s="23"/>
      <c r="D376" s="23"/>
      <c r="E376" s="23"/>
      <c r="F376" s="23"/>
      <c r="G376" s="23"/>
      <c r="H376" s="23"/>
      <c r="I376" s="23"/>
    </row>
    <row r="377" spans="1:9">
      <c r="A377" s="23"/>
      <c r="B377" s="23"/>
      <c r="C377" s="23"/>
      <c r="D377" s="23"/>
      <c r="E377" s="23"/>
      <c r="F377" s="23"/>
      <c r="G377" s="23"/>
      <c r="H377" s="23"/>
      <c r="I377" s="23"/>
    </row>
    <row r="378" spans="1:9">
      <c r="A378" s="23"/>
      <c r="B378" s="23"/>
      <c r="C378" s="23"/>
      <c r="D378" s="23"/>
      <c r="E378" s="23"/>
      <c r="F378" s="23"/>
      <c r="G378" s="23"/>
      <c r="H378" s="23"/>
      <c r="I378" s="23"/>
    </row>
    <row r="379" spans="1:9">
      <c r="A379" s="23"/>
      <c r="B379" s="23"/>
      <c r="C379" s="23"/>
      <c r="D379" s="23"/>
      <c r="E379" s="23"/>
      <c r="F379" s="23"/>
      <c r="G379" s="23"/>
      <c r="H379" s="23"/>
      <c r="I379" s="23"/>
    </row>
    <row r="380" spans="1:9">
      <c r="A380" s="23"/>
      <c r="B380" s="23"/>
      <c r="C380" s="23"/>
      <c r="D380" s="23"/>
      <c r="E380" s="23"/>
      <c r="F380" s="23"/>
      <c r="G380" s="23"/>
      <c r="H380" s="23"/>
      <c r="I380" s="23"/>
    </row>
    <row r="381" spans="1:9">
      <c r="A381" s="23"/>
      <c r="B381" s="23"/>
      <c r="C381" s="23"/>
      <c r="D381" s="23"/>
      <c r="E381" s="23"/>
      <c r="F381" s="23"/>
      <c r="G381" s="23"/>
      <c r="H381" s="23"/>
      <c r="I381" s="23"/>
    </row>
    <row r="382" spans="1:9">
      <c r="A382" s="23"/>
      <c r="B382" s="23"/>
      <c r="C382" s="23"/>
      <c r="D382" s="23"/>
      <c r="E382" s="23"/>
      <c r="F382" s="23"/>
      <c r="G382" s="23"/>
      <c r="H382" s="23"/>
      <c r="I382" s="23"/>
    </row>
    <row r="383" spans="1:9">
      <c r="A383" s="23"/>
      <c r="B383" s="23"/>
      <c r="C383" s="23"/>
      <c r="D383" s="23"/>
      <c r="E383" s="23"/>
      <c r="F383" s="23"/>
      <c r="G383" s="23"/>
      <c r="H383" s="23"/>
      <c r="I383" s="23"/>
    </row>
    <row r="384" spans="1:9">
      <c r="A384" s="23"/>
      <c r="B384" s="23"/>
      <c r="C384" s="23"/>
      <c r="D384" s="23"/>
      <c r="E384" s="23"/>
      <c r="F384" s="23"/>
      <c r="G384" s="23"/>
      <c r="H384" s="23"/>
      <c r="I384" s="23"/>
    </row>
    <row r="385" spans="1:9">
      <c r="A385" s="23"/>
      <c r="B385" s="23"/>
      <c r="C385" s="23"/>
      <c r="D385" s="23"/>
      <c r="E385" s="23"/>
      <c r="F385" s="23"/>
      <c r="G385" s="23"/>
      <c r="H385" s="23"/>
      <c r="I385" s="23"/>
    </row>
    <row r="386" spans="1:9">
      <c r="A386" s="23"/>
      <c r="B386" s="23"/>
      <c r="C386" s="23"/>
      <c r="D386" s="23"/>
      <c r="E386" s="23"/>
      <c r="F386" s="23"/>
      <c r="G386" s="23"/>
      <c r="H386" s="23"/>
      <c r="I386" s="23"/>
    </row>
    <row r="387" spans="1:9">
      <c r="A387" s="23"/>
      <c r="B387" s="23"/>
      <c r="C387" s="23"/>
      <c r="D387" s="23"/>
      <c r="E387" s="23"/>
      <c r="F387" s="23"/>
      <c r="G387" s="23"/>
      <c r="H387" s="23"/>
      <c r="I387" s="23"/>
    </row>
    <row r="388" spans="1:9">
      <c r="A388" s="23"/>
      <c r="B388" s="23"/>
      <c r="C388" s="23"/>
      <c r="D388" s="23"/>
      <c r="E388" s="23"/>
      <c r="F388" s="23"/>
      <c r="G388" s="23"/>
      <c r="H388" s="23"/>
      <c r="I388" s="23"/>
    </row>
    <row r="389" spans="1:9">
      <c r="A389" s="23"/>
      <c r="B389" s="23"/>
      <c r="C389" s="23"/>
      <c r="D389" s="23"/>
      <c r="E389" s="23"/>
      <c r="F389" s="23"/>
      <c r="G389" s="23"/>
      <c r="H389" s="23"/>
      <c r="I389" s="23"/>
    </row>
    <row r="390" spans="1:9">
      <c r="A390" s="23"/>
      <c r="B390" s="23"/>
      <c r="C390" s="23"/>
      <c r="D390" s="23"/>
      <c r="E390" s="23"/>
      <c r="F390" s="23"/>
      <c r="G390" s="23"/>
      <c r="H390" s="23"/>
      <c r="I390" s="23"/>
    </row>
    <row r="391" spans="1:9">
      <c r="A391" s="23"/>
      <c r="B391" s="23"/>
      <c r="C391" s="23"/>
      <c r="D391" s="23"/>
      <c r="E391" s="23"/>
      <c r="F391" s="23"/>
      <c r="G391" s="23"/>
      <c r="H391" s="23"/>
      <c r="I391" s="23"/>
    </row>
    <row r="392" spans="1:9">
      <c r="A392" s="23"/>
      <c r="B392" s="23"/>
      <c r="C392" s="23"/>
      <c r="D392" s="23"/>
      <c r="E392" s="23"/>
      <c r="F392" s="23"/>
      <c r="G392" s="23"/>
      <c r="H392" s="23"/>
      <c r="I392" s="23"/>
    </row>
    <row r="393" spans="1:9">
      <c r="A393" s="23"/>
      <c r="B393" s="23"/>
      <c r="C393" s="23"/>
      <c r="D393" s="23"/>
      <c r="E393" s="23"/>
      <c r="F393" s="23"/>
      <c r="G393" s="23"/>
      <c r="H393" s="23"/>
      <c r="I393" s="23"/>
    </row>
    <row r="394" spans="1:9">
      <c r="A394" s="23"/>
      <c r="B394" s="23"/>
      <c r="C394" s="23"/>
      <c r="D394" s="23"/>
      <c r="E394" s="23"/>
      <c r="F394" s="23"/>
      <c r="G394" s="23"/>
      <c r="H394" s="23"/>
      <c r="I394" s="23"/>
    </row>
    <row r="395" spans="1:9">
      <c r="A395" s="23"/>
      <c r="B395" s="23"/>
      <c r="C395" s="23"/>
      <c r="D395" s="23"/>
      <c r="E395" s="23"/>
      <c r="F395" s="23"/>
      <c r="G395" s="23"/>
      <c r="H395" s="23"/>
      <c r="I395" s="23"/>
    </row>
    <row r="396" spans="1:9">
      <c r="A396" s="23"/>
      <c r="B396" s="23"/>
      <c r="C396" s="23"/>
      <c r="D396" s="23"/>
      <c r="E396" s="23"/>
      <c r="F396" s="23"/>
      <c r="G396" s="23"/>
      <c r="H396" s="23"/>
      <c r="I396" s="23"/>
    </row>
    <row r="397" spans="1:9">
      <c r="A397" s="23"/>
      <c r="B397" s="23"/>
      <c r="C397" s="23"/>
      <c r="D397" s="23"/>
      <c r="E397" s="23"/>
      <c r="F397" s="23"/>
      <c r="G397" s="23"/>
      <c r="H397" s="23"/>
      <c r="I397" s="23"/>
    </row>
    <row r="398" spans="1:9">
      <c r="A398" s="23"/>
      <c r="B398" s="23"/>
      <c r="C398" s="23"/>
      <c r="D398" s="23"/>
      <c r="E398" s="23"/>
      <c r="F398" s="23"/>
      <c r="G398" s="23"/>
      <c r="H398" s="23"/>
      <c r="I398" s="23"/>
    </row>
    <row r="399" spans="1:9">
      <c r="A399" s="23"/>
      <c r="B399" s="23"/>
      <c r="C399" s="23"/>
      <c r="D399" s="23"/>
      <c r="E399" s="23"/>
      <c r="F399" s="23"/>
      <c r="G399" s="23"/>
      <c r="H399" s="23"/>
      <c r="I399" s="23"/>
    </row>
    <row r="400" spans="1:9">
      <c r="A400" s="23"/>
      <c r="B400" s="23"/>
      <c r="C400" s="23"/>
      <c r="D400" s="23"/>
      <c r="E400" s="23"/>
      <c r="F400" s="23"/>
      <c r="G400" s="23"/>
      <c r="H400" s="23"/>
      <c r="I400" s="23"/>
    </row>
    <row r="401" spans="1:9">
      <c r="A401" s="23"/>
      <c r="B401" s="23"/>
      <c r="C401" s="23"/>
      <c r="D401" s="23"/>
      <c r="E401" s="23"/>
      <c r="F401" s="23"/>
      <c r="G401" s="23"/>
      <c r="H401" s="23"/>
      <c r="I401" s="23"/>
    </row>
    <row r="402" spans="1:9">
      <c r="A402" s="23"/>
      <c r="B402" s="23"/>
      <c r="C402" s="23"/>
      <c r="D402" s="23"/>
      <c r="E402" s="23"/>
      <c r="F402" s="23"/>
      <c r="G402" s="23"/>
      <c r="H402" s="23"/>
      <c r="I402" s="23"/>
    </row>
    <row r="403" spans="1:9">
      <c r="A403" s="23"/>
      <c r="B403" s="23"/>
      <c r="C403" s="23"/>
      <c r="D403" s="23"/>
      <c r="E403" s="23"/>
      <c r="F403" s="23"/>
      <c r="G403" s="23"/>
      <c r="H403" s="23"/>
      <c r="I403" s="23"/>
    </row>
    <row r="404" spans="1:9">
      <c r="A404" s="23"/>
      <c r="B404" s="23"/>
      <c r="C404" s="23"/>
      <c r="D404" s="23"/>
      <c r="E404" s="23"/>
      <c r="F404" s="23"/>
      <c r="G404" s="23"/>
      <c r="H404" s="23"/>
      <c r="I404" s="23"/>
    </row>
    <row r="405" spans="1:9">
      <c r="A405" s="23"/>
      <c r="B405" s="23"/>
      <c r="C405" s="23"/>
      <c r="D405" s="23"/>
      <c r="E405" s="23"/>
      <c r="F405" s="23"/>
      <c r="G405" s="23"/>
      <c r="H405" s="23"/>
      <c r="I405" s="23"/>
    </row>
    <row r="406" spans="1:9">
      <c r="A406" s="23"/>
      <c r="B406" s="23"/>
      <c r="C406" s="23"/>
      <c r="D406" s="23"/>
      <c r="E406" s="23"/>
      <c r="F406" s="23"/>
      <c r="G406" s="23"/>
      <c r="H406" s="23"/>
      <c r="I406" s="23"/>
    </row>
    <row r="407" spans="1:9">
      <c r="A407" s="23"/>
      <c r="B407" s="23"/>
      <c r="C407" s="23"/>
      <c r="D407" s="23"/>
      <c r="E407" s="23"/>
      <c r="F407" s="23"/>
      <c r="G407" s="23"/>
      <c r="H407" s="23"/>
      <c r="I407" s="23"/>
    </row>
    <row r="408" spans="1:9">
      <c r="A408" s="23"/>
      <c r="B408" s="23"/>
      <c r="C408" s="23"/>
      <c r="D408" s="23"/>
      <c r="E408" s="23"/>
      <c r="F408" s="23"/>
      <c r="G408" s="23"/>
      <c r="H408" s="23"/>
      <c r="I408" s="23"/>
    </row>
    <row r="409" spans="1:9">
      <c r="A409" s="23"/>
      <c r="B409" s="23"/>
      <c r="C409" s="23"/>
      <c r="D409" s="23"/>
      <c r="E409" s="23"/>
      <c r="F409" s="23"/>
      <c r="G409" s="23"/>
      <c r="H409" s="23"/>
      <c r="I409" s="23"/>
    </row>
    <row r="410" spans="1:9">
      <c r="A410" s="23"/>
      <c r="B410" s="23"/>
      <c r="C410" s="23"/>
      <c r="D410" s="23"/>
      <c r="E410" s="23"/>
      <c r="F410" s="23"/>
      <c r="G410" s="23"/>
      <c r="H410" s="23"/>
      <c r="I410" s="23"/>
    </row>
    <row r="411" spans="1:9">
      <c r="A411" s="23"/>
      <c r="B411" s="23"/>
      <c r="C411" s="23"/>
      <c r="D411" s="23"/>
      <c r="E411" s="23"/>
      <c r="F411" s="23"/>
      <c r="G411" s="23"/>
      <c r="H411" s="23"/>
      <c r="I411" s="23"/>
    </row>
    <row r="412" spans="1:9">
      <c r="A412" s="23"/>
      <c r="B412" s="23"/>
      <c r="C412" s="23"/>
      <c r="D412" s="23"/>
      <c r="E412" s="23"/>
      <c r="F412" s="23"/>
      <c r="G412" s="23"/>
      <c r="H412" s="23"/>
      <c r="I412" s="23"/>
    </row>
    <row r="413" spans="1:9">
      <c r="A413" s="23"/>
      <c r="B413" s="23"/>
      <c r="C413" s="23"/>
      <c r="D413" s="23"/>
      <c r="E413" s="23"/>
      <c r="F413" s="23"/>
      <c r="G413" s="23"/>
      <c r="H413" s="23"/>
      <c r="I413" s="23"/>
    </row>
    <row r="414" spans="1:9">
      <c r="A414" s="23"/>
      <c r="B414" s="23"/>
      <c r="C414" s="23"/>
      <c r="D414" s="23"/>
      <c r="E414" s="23"/>
      <c r="F414" s="23"/>
      <c r="G414" s="23"/>
      <c r="H414" s="23"/>
      <c r="I414" s="23"/>
    </row>
    <row r="415" spans="1:9">
      <c r="A415" s="23"/>
      <c r="B415" s="23"/>
      <c r="C415" s="23"/>
      <c r="D415" s="23"/>
      <c r="E415" s="23"/>
      <c r="F415" s="23"/>
      <c r="G415" s="23"/>
      <c r="H415" s="23"/>
      <c r="I415" s="23"/>
    </row>
    <row r="416" spans="1:9">
      <c r="A416" s="23"/>
      <c r="B416" s="23"/>
      <c r="C416" s="23"/>
      <c r="D416" s="23"/>
      <c r="E416" s="23"/>
      <c r="F416" s="23"/>
      <c r="G416" s="23"/>
      <c r="H416" s="23"/>
      <c r="I416" s="23"/>
    </row>
    <row r="417" spans="1:9">
      <c r="A417" s="23"/>
      <c r="B417" s="23"/>
      <c r="C417" s="23"/>
      <c r="D417" s="23"/>
      <c r="E417" s="23"/>
      <c r="F417" s="23"/>
      <c r="G417" s="23"/>
      <c r="H417" s="23"/>
      <c r="I417" s="23"/>
    </row>
    <row r="418" spans="1:9">
      <c r="A418" s="23"/>
      <c r="B418" s="23"/>
      <c r="C418" s="23"/>
      <c r="D418" s="23"/>
      <c r="E418" s="23"/>
      <c r="F418" s="23"/>
      <c r="G418" s="23"/>
      <c r="H418" s="23"/>
      <c r="I418" s="23"/>
    </row>
    <row r="419" spans="1:9">
      <c r="A419" s="23"/>
      <c r="B419" s="23"/>
      <c r="C419" s="23"/>
      <c r="D419" s="23"/>
      <c r="E419" s="23"/>
      <c r="F419" s="23"/>
      <c r="G419" s="23"/>
      <c r="H419" s="23"/>
      <c r="I419" s="23"/>
    </row>
    <row r="420" spans="1:9">
      <c r="A420" s="23"/>
      <c r="B420" s="23"/>
      <c r="C420" s="23"/>
      <c r="D420" s="23"/>
      <c r="E420" s="23"/>
      <c r="F420" s="23"/>
      <c r="G420" s="23"/>
      <c r="H420" s="23"/>
      <c r="I420" s="23"/>
    </row>
    <row r="421" spans="1:9">
      <c r="A421" s="23"/>
      <c r="B421" s="23"/>
      <c r="C421" s="23"/>
      <c r="D421" s="23"/>
      <c r="E421" s="23"/>
      <c r="F421" s="23"/>
      <c r="G421" s="23"/>
      <c r="H421" s="23"/>
      <c r="I421" s="23"/>
    </row>
    <row r="422" spans="1:9">
      <c r="A422" s="23"/>
      <c r="B422" s="23"/>
      <c r="C422" s="23"/>
      <c r="D422" s="23"/>
      <c r="E422" s="23"/>
      <c r="F422" s="23"/>
      <c r="G422" s="23"/>
      <c r="H422" s="23"/>
      <c r="I422" s="23"/>
    </row>
    <row r="423" spans="1:9">
      <c r="A423" s="23"/>
      <c r="B423" s="23"/>
      <c r="C423" s="23"/>
      <c r="D423" s="23"/>
      <c r="E423" s="23"/>
      <c r="F423" s="23"/>
      <c r="G423" s="23"/>
      <c r="H423" s="23"/>
      <c r="I423" s="23"/>
    </row>
    <row r="424" spans="1:9">
      <c r="A424" s="23"/>
      <c r="B424" s="23"/>
      <c r="C424" s="23"/>
      <c r="D424" s="23"/>
      <c r="E424" s="23"/>
      <c r="F424" s="23"/>
      <c r="G424" s="23"/>
      <c r="H424" s="23"/>
      <c r="I424" s="23"/>
    </row>
    <row r="425" spans="1:9">
      <c r="A425" s="23"/>
      <c r="B425" s="23"/>
      <c r="C425" s="23"/>
      <c r="D425" s="23"/>
      <c r="E425" s="23"/>
      <c r="F425" s="23"/>
      <c r="G425" s="23"/>
      <c r="H425" s="23"/>
      <c r="I425" s="23"/>
    </row>
    <row r="426" spans="1:9">
      <c r="A426" s="23"/>
      <c r="B426" s="23"/>
      <c r="C426" s="23"/>
      <c r="D426" s="23"/>
      <c r="E426" s="23"/>
      <c r="F426" s="23"/>
      <c r="G426" s="23"/>
      <c r="H426" s="23"/>
      <c r="I426" s="23"/>
    </row>
    <row r="427" spans="1:9">
      <c r="A427" s="23"/>
      <c r="B427" s="23"/>
      <c r="C427" s="23"/>
      <c r="D427" s="23"/>
      <c r="E427" s="23"/>
      <c r="F427" s="23"/>
      <c r="G427" s="23"/>
      <c r="H427" s="23"/>
      <c r="I427" s="23"/>
    </row>
    <row r="428" spans="1:9">
      <c r="A428" s="23"/>
      <c r="B428" s="23"/>
      <c r="C428" s="23"/>
      <c r="D428" s="23"/>
      <c r="E428" s="23"/>
      <c r="F428" s="23"/>
      <c r="G428" s="23"/>
      <c r="H428" s="23"/>
      <c r="I428" s="23"/>
    </row>
    <row r="429" spans="1:9">
      <c r="A429" s="23"/>
      <c r="B429" s="23"/>
      <c r="C429" s="23"/>
      <c r="D429" s="23"/>
      <c r="E429" s="23"/>
      <c r="F429" s="23"/>
      <c r="G429" s="23"/>
      <c r="H429" s="23"/>
    </row>
  </sheetData>
  <mergeCells count="8">
    <mergeCell ref="C65:F65"/>
    <mergeCell ref="E56:G56"/>
    <mergeCell ref="C62:G63"/>
    <mergeCell ref="C3:G3"/>
    <mergeCell ref="C5:G5"/>
    <mergeCell ref="C10:G10"/>
    <mergeCell ref="C13:G13"/>
    <mergeCell ref="C59:F59"/>
  </mergeCells>
  <conditionalFormatting sqref="E53">
    <cfRule type="expression" dxfId="59" priority="2" stopIfTrue="1">
      <formula>$C$53="Other"</formula>
    </cfRule>
  </conditionalFormatting>
  <conditionalFormatting sqref="E56:G56">
    <cfRule type="expression" dxfId="58" priority="1" stopIfTrue="1">
      <formula>$C$56="Other"</formula>
    </cfRule>
  </conditionalFormatting>
  <dataValidations count="7">
    <dataValidation type="list" allowBlank="1" showInputMessage="1" showErrorMessage="1" sqref="C53 C56">
      <formula1>"Monthly, Quarterly, Other"</formula1>
    </dataValidation>
    <dataValidation type="list" allowBlank="1" showErrorMessage="1" prompt="_x000a_" sqref="C8">
      <formula1>"100 Cubic Feet (CCF), 1000 Gallons (Mgal)"</formula1>
    </dataValidation>
    <dataValidation type="list" allowBlank="1" showInputMessage="1" showErrorMessage="1" sqref="C50">
      <formula1>"Postcards, Envelopes"</formula1>
    </dataValidation>
    <dataValidation type="list" allowBlank="1" showInputMessage="1" showErrorMessage="1" sqref="C59">
      <formula1>"All meters are read within one 24-hour period, Meters are read continuously on consecutive days until complete., Meters are read in cycle (one-third of customers are read each month)."</formula1>
    </dataValidation>
    <dataValidation type="list" allowBlank="1" showInputMessage="1" showErrorMessage="1" sqref="E15:E18 E20:E23 E25:E28 E30:E33 E35:E38 E40:E43">
      <formula1>"5/8"",3/4"",1"",1 1/4"",1 1/2"",2"",2 1/2"",3"",4"",6"",8"",10"",12"""</formula1>
    </dataValidation>
    <dataValidation type="whole" allowBlank="1" showInputMessage="1" showErrorMessage="1" errorTitle="Billing Period" error="Please enter the number of times you bill your customers as a number between 1 and 12." sqref="E53">
      <formula1>1</formula1>
      <formula2>12</formula2>
    </dataValidation>
    <dataValidation allowBlank="1" showInputMessage="1" showErrorMessage="1" errorTitle="Billing Period" error="Please enter the number of times you bill your customers as a number between 1 and 12." sqref="F53:G53"/>
  </dataValidations>
  <pageMargins left="1" right="0.7" top="0.75" bottom="0.75" header="0.3" footer="0.3"/>
  <pageSetup scale="55" orientation="portrait" blackAndWhite="1" r:id="rId1"/>
  <headerFooter alignWithMargins="0"/>
  <rowBreaks count="1" manualBreakCount="1">
    <brk id="45" max="8" man="1"/>
  </rowBreaks>
  <legacyDrawing r:id="rId2"/>
</worksheet>
</file>

<file path=xl/worksheets/sheet8.xml><?xml version="1.0" encoding="utf-8"?>
<worksheet xmlns="http://schemas.openxmlformats.org/spreadsheetml/2006/main" xmlns:r="http://schemas.openxmlformats.org/officeDocument/2006/relationships">
  <sheetPr codeName="Sheet2">
    <pageSetUpPr fitToPage="1"/>
  </sheetPr>
  <dimension ref="A1:O59"/>
  <sheetViews>
    <sheetView showGridLines="0" topLeftCell="A7" zoomScale="86" zoomScaleNormal="86" workbookViewId="0">
      <selection activeCell="F22" sqref="F22"/>
    </sheetView>
  </sheetViews>
  <sheetFormatPr defaultRowHeight="15"/>
  <cols>
    <col min="2" max="2" width="9.140625" customWidth="1"/>
    <col min="3" max="3" width="15.5703125" customWidth="1"/>
    <col min="4" max="5" width="17.140625" customWidth="1"/>
    <col min="6" max="6" width="19.28515625" customWidth="1"/>
    <col min="7" max="7" width="14.42578125" customWidth="1"/>
    <col min="8" max="8" width="14.140625" customWidth="1"/>
    <col min="9" max="9" width="14" customWidth="1"/>
    <col min="10" max="10" width="15.7109375" customWidth="1"/>
    <col min="15" max="15" width="11.28515625" customWidth="1"/>
  </cols>
  <sheetData>
    <row r="1" spans="1:15">
      <c r="A1" s="1515"/>
      <c r="B1" s="188" t="str">
        <f>TestYear &amp; " Test Year"</f>
        <v>2015 Test Year</v>
      </c>
      <c r="C1" s="297"/>
      <c r="D1" s="186"/>
      <c r="E1" s="185"/>
      <c r="F1" s="185"/>
      <c r="G1" s="185"/>
      <c r="H1" s="185"/>
      <c r="I1" s="185"/>
      <c r="J1" s="185"/>
      <c r="K1" s="185"/>
      <c r="L1" s="307" t="s">
        <v>1105</v>
      </c>
      <c r="M1" s="185"/>
      <c r="N1" s="1515"/>
      <c r="O1" s="1515"/>
    </row>
    <row r="2" spans="1:15">
      <c r="A2" s="1515"/>
      <c r="B2" s="185"/>
      <c r="C2" s="185"/>
      <c r="D2" s="298"/>
      <c r="E2" s="185"/>
      <c r="F2" s="357"/>
      <c r="G2" s="363" t="str">
        <f>Utility</f>
        <v>MADISON WATER UTILITY</v>
      </c>
      <c r="H2" s="358"/>
      <c r="I2" s="1515"/>
      <c r="J2" s="358"/>
      <c r="K2" s="358"/>
      <c r="L2" s="358"/>
      <c r="M2" s="358"/>
      <c r="N2" s="358"/>
      <c r="O2" s="1515"/>
    </row>
    <row r="3" spans="1:15">
      <c r="A3" s="1515"/>
      <c r="B3" s="185"/>
      <c r="C3" s="185"/>
      <c r="D3" s="185"/>
      <c r="E3" s="185"/>
      <c r="F3" s="185"/>
      <c r="G3" s="185"/>
      <c r="H3" s="185"/>
      <c r="I3" s="191"/>
      <c r="J3" s="185"/>
      <c r="K3" s="185"/>
      <c r="L3" s="185"/>
      <c r="M3" s="185"/>
      <c r="N3" s="185"/>
      <c r="O3" s="1515"/>
    </row>
    <row r="4" spans="1:15">
      <c r="A4" s="1515"/>
      <c r="B4" s="185"/>
      <c r="C4" s="185"/>
      <c r="D4" s="185"/>
      <c r="E4" s="185"/>
      <c r="F4" s="360"/>
      <c r="G4" s="362" t="s">
        <v>1006</v>
      </c>
      <c r="H4" s="187"/>
      <c r="I4" s="1515"/>
      <c r="J4" s="187"/>
      <c r="K4" s="187"/>
      <c r="L4" s="187"/>
      <c r="M4" s="187"/>
      <c r="N4" s="187"/>
      <c r="O4" s="1515"/>
    </row>
    <row r="5" spans="1:15" ht="15.75" thickBot="1">
      <c r="A5" s="1515"/>
      <c r="B5" s="1515"/>
      <c r="C5" s="1515"/>
      <c r="D5" s="1515"/>
      <c r="E5" s="1515"/>
      <c r="F5" s="1515"/>
      <c r="G5" s="1515"/>
      <c r="H5" s="1515"/>
      <c r="I5" s="1515"/>
      <c r="J5" s="1515"/>
      <c r="K5" s="1515"/>
      <c r="L5" s="1515"/>
      <c r="M5" s="1515"/>
      <c r="N5" s="1515"/>
      <c r="O5" s="1515"/>
    </row>
    <row r="6" spans="1:15" ht="16.5" thickTop="1" thickBot="1">
      <c r="A6" s="1515"/>
      <c r="B6" s="1534"/>
      <c r="C6" s="1535"/>
      <c r="D6" s="1535"/>
      <c r="E6" s="1535"/>
      <c r="F6" s="1535"/>
      <c r="G6" s="1535"/>
      <c r="H6" s="1535"/>
      <c r="I6" s="1535"/>
      <c r="J6" s="1535"/>
      <c r="K6" s="1535"/>
      <c r="L6" s="1536"/>
      <c r="M6" s="1516"/>
      <c r="N6" s="1515"/>
      <c r="O6" s="1515"/>
    </row>
    <row r="7" spans="1:15" ht="15.75" thickBot="1">
      <c r="A7" s="1515"/>
      <c r="B7" s="283"/>
      <c r="C7" s="1531" t="s">
        <v>969</v>
      </c>
      <c r="D7" s="330"/>
      <c r="E7" s="387">
        <f>IF(Question2="Monthly",12,IF(Question2="Quarterly",4,Attach1!E53))</f>
        <v>12</v>
      </c>
      <c r="F7" s="351"/>
      <c r="G7" s="351"/>
      <c r="H7" s="351"/>
      <c r="I7" s="1532" t="s">
        <v>251</v>
      </c>
      <c r="J7" s="1930">
        <v>41820</v>
      </c>
      <c r="K7" s="1931"/>
      <c r="L7" s="1537"/>
      <c r="M7" s="1516"/>
      <c r="N7" s="1515"/>
      <c r="O7" s="1515"/>
    </row>
    <row r="8" spans="1:15">
      <c r="A8" s="1515"/>
      <c r="B8" s="283"/>
      <c r="C8" s="356"/>
      <c r="D8" s="330"/>
      <c r="E8" s="1529"/>
      <c r="F8" s="351"/>
      <c r="G8" s="351"/>
      <c r="H8" s="351"/>
      <c r="I8" s="369"/>
      <c r="J8" s="1530"/>
      <c r="K8" s="1530"/>
      <c r="L8" s="1537"/>
      <c r="M8" s="1516"/>
      <c r="N8" s="1515"/>
      <c r="O8" s="1515"/>
    </row>
    <row r="9" spans="1:15">
      <c r="A9" s="1515"/>
      <c r="B9" s="1538"/>
      <c r="C9" s="1517" t="s">
        <v>1005</v>
      </c>
      <c r="D9" s="1518"/>
      <c r="E9" s="1518"/>
      <c r="F9" s="1518"/>
      <c r="G9" s="1809" t="s">
        <v>1284</v>
      </c>
      <c r="H9" s="1539"/>
      <c r="I9" s="1539"/>
      <c r="J9" s="1518"/>
      <c r="K9" s="1518"/>
      <c r="L9" s="1537"/>
      <c r="M9" s="1516"/>
      <c r="N9" s="1515"/>
      <c r="O9" s="1515"/>
    </row>
    <row r="10" spans="1:15">
      <c r="A10" s="1515"/>
      <c r="B10" s="1538"/>
      <c r="C10" s="1517"/>
      <c r="D10" s="1789" t="s">
        <v>1104</v>
      </c>
      <c r="E10" s="1518"/>
      <c r="F10" s="1518"/>
      <c r="G10" s="1518"/>
      <c r="H10" s="1518"/>
      <c r="I10" s="1518"/>
      <c r="J10" s="1518"/>
      <c r="K10" s="1518"/>
      <c r="L10" s="1537"/>
      <c r="M10" s="1516"/>
      <c r="N10" s="1515"/>
      <c r="O10" s="1515"/>
    </row>
    <row r="11" spans="1:15">
      <c r="A11" s="1515"/>
      <c r="B11" s="1538"/>
      <c r="C11" s="1517"/>
      <c r="D11" s="1539"/>
      <c r="E11" s="1517"/>
      <c r="F11" s="1517"/>
      <c r="G11" s="1517"/>
      <c r="H11" s="1517"/>
      <c r="I11" s="1517"/>
      <c r="J11" s="1518"/>
      <c r="K11" s="1518"/>
      <c r="L11" s="1537"/>
      <c r="M11" s="1516"/>
      <c r="N11" s="1515"/>
      <c r="O11" s="1515"/>
    </row>
    <row r="12" spans="1:15">
      <c r="A12" s="1515"/>
      <c r="B12" s="1538"/>
      <c r="C12" s="1518"/>
      <c r="D12" s="1540"/>
      <c r="E12" s="1518"/>
      <c r="F12" s="1518"/>
      <c r="G12" s="1518"/>
      <c r="H12" s="1518"/>
      <c r="I12" s="1518"/>
      <c r="J12" s="1518"/>
      <c r="K12" s="1518"/>
      <c r="L12" s="1537"/>
      <c r="M12" s="1516"/>
      <c r="N12" s="1515"/>
      <c r="O12" s="1515"/>
    </row>
    <row r="13" spans="1:15">
      <c r="A13" s="1515"/>
      <c r="B13" s="1538"/>
      <c r="C13" s="1517" t="str">
        <f>IF(CBRate="Yes","Which rate schedules do you have?","")</f>
        <v>Which rate schedules do you have?</v>
      </c>
      <c r="D13" s="1518"/>
      <c r="E13" s="1518"/>
      <c r="F13" s="1518"/>
      <c r="G13" s="1518"/>
      <c r="H13" s="1518"/>
      <c r="I13" s="1518"/>
      <c r="J13" s="1518"/>
      <c r="K13" s="1518"/>
      <c r="L13" s="1537"/>
      <c r="M13" s="1516"/>
      <c r="N13" s="1515"/>
      <c r="O13" s="1515"/>
    </row>
    <row r="14" spans="1:15">
      <c r="A14" s="1515"/>
      <c r="B14" s="1538"/>
      <c r="C14" s="1517"/>
      <c r="D14" s="1518"/>
      <c r="E14" s="1518" t="str">
        <f>IF(CBRate="Yes","Non-Residential","")</f>
        <v>Non-Residential</v>
      </c>
      <c r="F14" s="1810" t="s">
        <v>1284</v>
      </c>
      <c r="G14" s="1518"/>
      <c r="H14" s="1518" t="str">
        <f>IF(CBRate="Yes","Multifamily","")</f>
        <v>Multifamily</v>
      </c>
      <c r="I14" s="1810" t="s">
        <v>1284</v>
      </c>
      <c r="J14" s="1518"/>
      <c r="K14" s="1518"/>
      <c r="L14" s="1537"/>
      <c r="M14" s="1516"/>
      <c r="N14" s="1515"/>
      <c r="O14" s="1515"/>
    </row>
    <row r="15" spans="1:15">
      <c r="A15" s="1515"/>
      <c r="B15" s="1538"/>
      <c r="C15" s="1517"/>
      <c r="D15" s="1518"/>
      <c r="E15" s="1518"/>
      <c r="F15" s="1518"/>
      <c r="G15" s="1518"/>
      <c r="H15" s="1518" t="str">
        <f>IF(CBRate="Yes","Irrigation/Other","")</f>
        <v>Irrigation/Other</v>
      </c>
      <c r="I15" s="1810" t="s">
        <v>1118</v>
      </c>
      <c r="J15" s="1518"/>
      <c r="K15" s="1518"/>
      <c r="L15" s="1537"/>
      <c r="M15" s="1516"/>
      <c r="N15" s="1515"/>
      <c r="O15" s="1515"/>
    </row>
    <row r="16" spans="1:15" ht="30" customHeight="1">
      <c r="A16" s="1515"/>
      <c r="B16" s="1538"/>
      <c r="C16" s="1517"/>
      <c r="D16" s="1518"/>
      <c r="E16" s="1518"/>
      <c r="F16" s="1518"/>
      <c r="G16" s="1518"/>
      <c r="H16" s="1518"/>
      <c r="I16" s="1518"/>
      <c r="J16" s="1518"/>
      <c r="K16" s="1518"/>
      <c r="L16" s="1537"/>
      <c r="M16" s="1516"/>
      <c r="N16" s="1515"/>
      <c r="O16" s="1515"/>
    </row>
    <row r="17" spans="1:15">
      <c r="A17" s="1515"/>
      <c r="B17" s="1538"/>
      <c r="C17" s="1539"/>
      <c r="D17" s="1541" t="str">
        <f>IF(CBRate="","","Volume Block")</f>
        <v>Volume Block</v>
      </c>
      <c r="E17" s="1799" t="str">
        <f>IF(CBRate="Yes","Residential","Rate")</f>
        <v>Residential</v>
      </c>
      <c r="F17" s="1605" t="str">
        <f>IF(CBRate="","",IF(F14="Yes","Non-Residential",""))</f>
        <v>Non-Residential</v>
      </c>
      <c r="G17" s="1517" t="str">
        <f>IF(CBRate="","",IF(I15="Yes","Irrigation",""))</f>
        <v/>
      </c>
      <c r="H17" s="1800" t="str">
        <f>IF(CBRate="","",IF(I14="Yes","Multifamily Residential",""))</f>
        <v>Multifamily Residential</v>
      </c>
      <c r="I17" s="1518"/>
      <c r="J17" s="1518"/>
      <c r="K17" s="1518"/>
      <c r="L17" s="1537"/>
      <c r="M17" s="1516"/>
      <c r="N17" s="1515"/>
      <c r="O17" s="1515"/>
    </row>
    <row r="18" spans="1:15">
      <c r="A18" s="1515"/>
      <c r="B18" s="1538"/>
      <c r="C18" s="1542" t="str">
        <f>IF(CBRate="","","First")</f>
        <v>First</v>
      </c>
      <c r="D18" s="1803">
        <v>8333</v>
      </c>
      <c r="E18" s="1816">
        <v>2.1</v>
      </c>
      <c r="F18" s="1816">
        <v>1.75</v>
      </c>
      <c r="G18" s="1816"/>
      <c r="H18" s="1816">
        <v>1.75</v>
      </c>
      <c r="I18" s="1518"/>
      <c r="J18" s="1518"/>
      <c r="K18" s="1518"/>
      <c r="L18" s="1537"/>
      <c r="M18" s="1516"/>
      <c r="N18" s="1515"/>
      <c r="O18" s="1515"/>
    </row>
    <row r="19" spans="1:15">
      <c r="A19" s="1515"/>
      <c r="B19" s="1538"/>
      <c r="C19" s="1542" t="str">
        <f>IF(CBRate="","","Next")</f>
        <v>Next</v>
      </c>
      <c r="D19" s="1803">
        <v>0</v>
      </c>
      <c r="E19" s="1816">
        <v>0</v>
      </c>
      <c r="F19" s="1816"/>
      <c r="G19" s="1816"/>
      <c r="H19" s="1816"/>
      <c r="I19" s="1518"/>
      <c r="J19" s="1518"/>
      <c r="K19" s="1518"/>
      <c r="L19" s="1537"/>
      <c r="M19" s="1516"/>
      <c r="N19" s="1515"/>
      <c r="O19" s="1515"/>
    </row>
    <row r="20" spans="1:15">
      <c r="A20" s="1515"/>
      <c r="B20" s="1538"/>
      <c r="C20" s="1542" t="str">
        <f>IF(CBRate="","","Next")</f>
        <v>Next</v>
      </c>
      <c r="D20" s="1803">
        <v>0</v>
      </c>
      <c r="E20" s="1816">
        <v>0</v>
      </c>
      <c r="F20" s="1816"/>
      <c r="G20" s="1816"/>
      <c r="H20" s="1816"/>
      <c r="I20" s="1518"/>
      <c r="J20" s="1518"/>
      <c r="K20" s="1518"/>
      <c r="L20" s="1537"/>
      <c r="M20" s="1516"/>
      <c r="N20" s="1515"/>
      <c r="O20" s="1515"/>
    </row>
    <row r="21" spans="1:15">
      <c r="A21" s="1515"/>
      <c r="B21" s="1538"/>
      <c r="C21" s="1542" t="str">
        <f>IF(CBRate="","","Next")</f>
        <v>Next</v>
      </c>
      <c r="D21" s="1803">
        <v>0</v>
      </c>
      <c r="E21" s="1816">
        <v>0</v>
      </c>
      <c r="F21" s="1816"/>
      <c r="G21" s="1816"/>
      <c r="H21" s="1816"/>
      <c r="I21" s="1518"/>
      <c r="J21" s="1518"/>
      <c r="K21" s="1518"/>
      <c r="L21" s="1537"/>
      <c r="M21" s="1516"/>
      <c r="N21" s="1515"/>
      <c r="O21" s="1515"/>
    </row>
    <row r="22" spans="1:15">
      <c r="A22" s="1515"/>
      <c r="B22" s="1538"/>
      <c r="C22" s="1542" t="str">
        <f>IF(CBRate="","","Over")</f>
        <v>Over</v>
      </c>
      <c r="D22" s="1803">
        <f>SUM(D18:D21)</f>
        <v>8333</v>
      </c>
      <c r="E22" s="1816">
        <v>2.1</v>
      </c>
      <c r="F22" s="1816">
        <v>1.37</v>
      </c>
      <c r="G22" s="1816"/>
      <c r="H22" s="1816">
        <v>1.37</v>
      </c>
      <c r="I22" s="1518"/>
      <c r="J22" s="1518"/>
      <c r="K22" s="1518"/>
      <c r="L22" s="1537"/>
      <c r="M22" s="1516"/>
      <c r="N22" s="1515"/>
      <c r="O22" s="1515"/>
    </row>
    <row r="23" spans="1:15">
      <c r="A23" s="1515"/>
      <c r="B23" s="1538"/>
      <c r="C23" s="1518"/>
      <c r="D23" s="1518"/>
      <c r="E23" s="1518"/>
      <c r="F23" s="1518"/>
      <c r="G23" s="1518"/>
      <c r="H23" s="1518"/>
      <c r="I23" s="1518"/>
      <c r="J23" s="1518"/>
      <c r="K23" s="1518"/>
      <c r="L23" s="1537"/>
      <c r="M23" s="1516"/>
      <c r="N23" s="1515"/>
      <c r="O23" s="1515"/>
    </row>
    <row r="24" spans="1:15">
      <c r="A24" s="1515"/>
      <c r="B24" s="1538"/>
      <c r="C24" s="1518"/>
      <c r="D24" s="1518"/>
      <c r="E24" s="1518"/>
      <c r="F24" s="1518"/>
      <c r="G24" s="1518"/>
      <c r="H24" s="1518"/>
      <c r="I24" s="1518"/>
      <c r="J24" s="1518"/>
      <c r="K24" s="1518"/>
      <c r="L24" s="1537"/>
      <c r="M24" s="1516"/>
      <c r="N24" s="1515"/>
      <c r="O24" s="1515"/>
    </row>
    <row r="25" spans="1:15" ht="30">
      <c r="A25" s="1515"/>
      <c r="B25" s="1538"/>
      <c r="C25" s="1518"/>
      <c r="D25" s="1521" t="s">
        <v>9</v>
      </c>
      <c r="E25" s="1522" t="s">
        <v>938</v>
      </c>
      <c r="F25" s="1521" t="s">
        <v>252</v>
      </c>
      <c r="G25" s="1523" t="s">
        <v>10</v>
      </c>
      <c r="H25" s="1524" t="s">
        <v>11</v>
      </c>
      <c r="I25" s="1522" t="s">
        <v>1119</v>
      </c>
      <c r="J25" s="1525"/>
      <c r="K25" s="1518"/>
      <c r="L25" s="1537"/>
      <c r="M25" s="1516"/>
      <c r="N25" s="1515"/>
      <c r="O25" s="1515"/>
    </row>
    <row r="26" spans="1:15">
      <c r="A26" s="1515"/>
      <c r="B26" s="1538"/>
      <c r="C26" s="1518"/>
      <c r="D26" s="1526" t="s">
        <v>254</v>
      </c>
      <c r="E26" s="1527" t="s">
        <v>254</v>
      </c>
      <c r="F26" s="1526" t="s">
        <v>254</v>
      </c>
      <c r="G26" s="1526" t="s">
        <v>254</v>
      </c>
      <c r="H26" s="1526" t="s">
        <v>254</v>
      </c>
      <c r="I26" s="1526" t="s">
        <v>254</v>
      </c>
      <c r="J26" s="1528" t="s">
        <v>253</v>
      </c>
      <c r="K26" s="1518"/>
      <c r="L26" s="1537"/>
      <c r="M26" s="1516"/>
      <c r="N26" s="1515"/>
      <c r="O26" s="1515"/>
    </row>
    <row r="27" spans="1:15">
      <c r="A27" s="1515"/>
      <c r="B27" s="1538"/>
      <c r="C27" s="1518"/>
      <c r="D27" s="272"/>
      <c r="E27" s="272"/>
      <c r="F27" s="272"/>
      <c r="G27" s="272"/>
      <c r="H27" s="272"/>
      <c r="I27" s="272"/>
      <c r="J27" s="272"/>
      <c r="K27" s="1518"/>
      <c r="L27" s="1537"/>
      <c r="M27" s="1516"/>
      <c r="N27" s="1515"/>
      <c r="O27" s="1515"/>
    </row>
    <row r="28" spans="1:15">
      <c r="A28" s="1515"/>
      <c r="B28" s="1538"/>
      <c r="C28" s="1543" t="str">
        <f>"First "&amp;TEXT(D18,"###,###,###")</f>
        <v>First 8,333</v>
      </c>
      <c r="D28" s="1544">
        <v>3895296</v>
      </c>
      <c r="E28" s="1544">
        <v>0</v>
      </c>
      <c r="F28" s="1544">
        <f>1150434+1843150</f>
        <v>2993584</v>
      </c>
      <c r="G28" s="1544">
        <v>26499</v>
      </c>
      <c r="H28" s="1544">
        <f>96316+59711+101925</f>
        <v>257952</v>
      </c>
      <c r="I28" s="1544">
        <v>0</v>
      </c>
      <c r="J28" s="1545">
        <f>SUM(D28:I28)</f>
        <v>7173331</v>
      </c>
      <c r="K28" s="1518"/>
      <c r="L28" s="1537"/>
      <c r="M28" s="1516"/>
      <c r="N28" s="1515"/>
      <c r="O28" s="1515"/>
    </row>
    <row r="29" spans="1:15">
      <c r="A29" s="1515"/>
      <c r="B29" s="1538"/>
      <c r="C29" s="1543" t="str">
        <f>IF(Block2=0,"","Next "&amp;TEXT(D19,"###,###,###"))</f>
        <v/>
      </c>
      <c r="D29" s="1544">
        <v>0</v>
      </c>
      <c r="E29" s="1544">
        <v>0</v>
      </c>
      <c r="F29" s="1544">
        <v>0</v>
      </c>
      <c r="G29" s="1544">
        <v>0</v>
      </c>
      <c r="H29" s="1544">
        <v>0</v>
      </c>
      <c r="I29" s="1544">
        <v>0</v>
      </c>
      <c r="J29" s="1545">
        <f>SUM(D29:I29)</f>
        <v>0</v>
      </c>
      <c r="K29" s="1518"/>
      <c r="L29" s="1537"/>
      <c r="M29" s="1516"/>
      <c r="N29" s="1515"/>
      <c r="O29" s="1515"/>
    </row>
    <row r="30" spans="1:15">
      <c r="A30" s="1515"/>
      <c r="B30" s="1538"/>
      <c r="C30" s="1543" t="str">
        <f>IF(Block3=0,"","Next "&amp;TEXT(D20,"###,###,###"))</f>
        <v/>
      </c>
      <c r="D30" s="1544">
        <v>0</v>
      </c>
      <c r="E30" s="1544">
        <v>0</v>
      </c>
      <c r="F30" s="1544">
        <v>0</v>
      </c>
      <c r="G30" s="1544">
        <v>0</v>
      </c>
      <c r="H30" s="1544">
        <v>0</v>
      </c>
      <c r="I30" s="1544">
        <v>0</v>
      </c>
      <c r="J30" s="1545">
        <f>SUM(D30:I30)</f>
        <v>0</v>
      </c>
      <c r="K30" s="1518"/>
      <c r="L30" s="1537"/>
      <c r="M30" s="1516"/>
      <c r="N30" s="1515"/>
      <c r="O30" s="1515"/>
    </row>
    <row r="31" spans="1:15">
      <c r="A31" s="1515"/>
      <c r="B31" s="1538"/>
      <c r="C31" s="1543" t="str">
        <f>IF(Block4=0,"","Next "&amp;TEXT(D21,"###,###,###"))</f>
        <v/>
      </c>
      <c r="D31" s="1544">
        <v>0</v>
      </c>
      <c r="E31" s="1544">
        <v>0</v>
      </c>
      <c r="F31" s="1544">
        <v>0</v>
      </c>
      <c r="G31" s="1544">
        <v>0</v>
      </c>
      <c r="H31" s="1544">
        <v>0</v>
      </c>
      <c r="I31" s="1544">
        <v>0</v>
      </c>
      <c r="J31" s="1545">
        <f>SUM(D31:I31)</f>
        <v>0</v>
      </c>
      <c r="K31" s="1518"/>
      <c r="L31" s="1537"/>
      <c r="M31" s="1516"/>
      <c r="N31" s="1515"/>
      <c r="O31" s="1515"/>
    </row>
    <row r="32" spans="1:15">
      <c r="A32" s="1515"/>
      <c r="B32" s="1538"/>
      <c r="C32" s="1543" t="str">
        <f>"Over "&amp; TEXT(D22,"###,###,###")</f>
        <v>Over 8,333</v>
      </c>
      <c r="D32" s="1546">
        <v>0</v>
      </c>
      <c r="E32" s="1546">
        <v>0</v>
      </c>
      <c r="F32" s="1546">
        <f>1228008+774381</f>
        <v>2002389</v>
      </c>
      <c r="G32" s="1546">
        <v>744763</v>
      </c>
      <c r="H32" s="1546">
        <f>149505+225563+1181166</f>
        <v>1556234</v>
      </c>
      <c r="I32" s="1546">
        <v>0</v>
      </c>
      <c r="J32" s="1547">
        <f>SUM(D32:I32)</f>
        <v>4303386</v>
      </c>
      <c r="K32" s="1518"/>
      <c r="L32" s="1548"/>
      <c r="M32" s="1515"/>
      <c r="N32" s="1515"/>
      <c r="O32" s="1515"/>
    </row>
    <row r="33" spans="1:15">
      <c r="A33" s="1515"/>
      <c r="B33" s="1549"/>
      <c r="C33" s="1539"/>
      <c r="D33" s="1550"/>
      <c r="E33" s="1550"/>
      <c r="F33" s="1550"/>
      <c r="G33" s="1550"/>
      <c r="H33" s="1550"/>
      <c r="I33" s="1550"/>
      <c r="J33" s="1550"/>
      <c r="K33" s="1539"/>
      <c r="L33" s="1548"/>
      <c r="M33" s="1515"/>
      <c r="N33" s="1515"/>
      <c r="O33" s="1515"/>
    </row>
    <row r="34" spans="1:15">
      <c r="A34" s="1515"/>
      <c r="B34" s="1549"/>
      <c r="C34" s="1519" t="s">
        <v>964</v>
      </c>
      <c r="D34" s="1520">
        <f t="shared" ref="D34:J34" si="0">SUM(D28:D32)</f>
        <v>3895296</v>
      </c>
      <c r="E34" s="1520">
        <f t="shared" si="0"/>
        <v>0</v>
      </c>
      <c r="F34" s="1520">
        <f t="shared" si="0"/>
        <v>4995973</v>
      </c>
      <c r="G34" s="1520">
        <f t="shared" si="0"/>
        <v>771262</v>
      </c>
      <c r="H34" s="1520">
        <f t="shared" si="0"/>
        <v>1814186</v>
      </c>
      <c r="I34" s="1520">
        <f t="shared" si="0"/>
        <v>0</v>
      </c>
      <c r="J34" s="1520">
        <f t="shared" si="0"/>
        <v>11476717</v>
      </c>
      <c r="K34" s="1539"/>
      <c r="L34" s="1548"/>
      <c r="M34" s="1515"/>
      <c r="N34" s="1515"/>
      <c r="O34" s="1515"/>
    </row>
    <row r="35" spans="1:15">
      <c r="A35" s="1515"/>
      <c r="B35" s="1549"/>
      <c r="C35" s="1519" t="s">
        <v>965</v>
      </c>
      <c r="D35" s="1788">
        <f>SUM(PRODUCT(D28,$E$18),PRODUCT(D29,$E$19),PRODUCT(D30,$E$20),PRODUCT(D31,$E$21),PRODUCT(D32,$E$22))</f>
        <v>8180121.6000000006</v>
      </c>
      <c r="E35" s="1788">
        <f>IF(I14="Yes",SUM(PRODUCT(E28,$H$18),PRODUCT(E29,$H$19),PRODUCT(E30,$H$20),PRODUCT(E31,$H$21),PRODUCT(E32,$H$22)),SUM(PRODUCT(E28,$E$18),PRODUCT(E29,$E$19),PRODUCT(E30,$E$20),PRODUCT(E31,$E$21),PRODUCT(E32,$E$22)))</f>
        <v>0</v>
      </c>
      <c r="F35" s="1788">
        <f>IF(F14="Yes",SUM(PRODUCT(F28,$F$18),PRODUCT(F29,$F$19),PRODUCT(F30,$F$20),PRODUCT(F31,$F$21),PRODUCT(F32,$F$22)),SUM(PRODUCT(F28,$E$18),PRODUCT(F29,$E$19),PRODUCT(F30,$E$20),PRODUCT(F31,$E$21),PRODUCT(F32,$E$22)))</f>
        <v>7982044.9299999997</v>
      </c>
      <c r="G35" s="1788">
        <f>IF(F14="Yes",SUM(PRODUCT(G28,$F$18),PRODUCT(G29,$F$19),PRODUCT(G30,$F$20),PRODUCT(G31,$F$21),PRODUCT(G32,$F$22)),SUM(PRODUCT(G28,$E$18),PRODUCT(G29,$E$19),PRODUCT(G30,$E$20),PRODUCT(G31,$E$21),PRODUCT(G32,$E$22)))</f>
        <v>1066698.56</v>
      </c>
      <c r="H35" s="1788">
        <f>IF(F14="Yes",SUM(PRODUCT(H28,$F$18),PRODUCT(H29,$F$19),PRODUCT(H30,$F$20),PRODUCT(H31,$F$21),PRODUCT(H32,$F$22)),SUM(PRODUCT(H28,$E$18),PRODUCT(H29,$E$19),PRODUCT(H30,$E$20),PRODUCT(H31,$E$21),PRODUCT(H32,$E$22)))</f>
        <v>2583456.58</v>
      </c>
      <c r="I35" s="1788">
        <f>IF(I15="Yes",SUM(PRODUCT(I28,$G$18),PRODUCT(I29,$G$19),PRODUCT(I30,$G$20),PRODUCT(I31,$G$21),PRODUCT(I32,$G$22)),SUM(PRODUCT(I28,$E$18),PRODUCT(I29,$E$19),PRODUCT(I30,$E$20),PRODUCT(I31,$E$21),PRODUCT(I32,$E$22)))</f>
        <v>0</v>
      </c>
      <c r="J35" s="1788">
        <f>SUM(D35:I35)</f>
        <v>19812321.670000002</v>
      </c>
      <c r="K35" s="1539"/>
      <c r="L35" s="1548"/>
      <c r="M35" s="1515"/>
      <c r="N35" s="1515"/>
      <c r="O35" s="1515"/>
    </row>
    <row r="36" spans="1:15">
      <c r="A36" s="1515"/>
      <c r="B36" s="1549"/>
      <c r="C36" s="1539"/>
      <c r="D36" s="1539"/>
      <c r="E36" s="1539"/>
      <c r="F36" s="1539"/>
      <c r="G36" s="1539"/>
      <c r="H36" s="1539"/>
      <c r="I36" s="1539"/>
      <c r="J36" s="1539"/>
      <c r="K36" s="1539"/>
      <c r="L36" s="1548"/>
      <c r="M36" s="1515"/>
      <c r="N36" s="1515"/>
      <c r="O36" s="1515"/>
    </row>
    <row r="37" spans="1:15">
      <c r="A37" s="1515"/>
      <c r="B37" s="1549"/>
      <c r="C37" s="1539"/>
      <c r="D37" s="1539"/>
      <c r="E37" s="1539"/>
      <c r="F37" s="1539"/>
      <c r="G37" s="1539"/>
      <c r="H37" s="1539"/>
      <c r="I37" s="1539"/>
      <c r="J37" s="1539"/>
      <c r="K37" s="1539"/>
      <c r="L37" s="1548"/>
      <c r="M37" s="1515"/>
      <c r="N37" s="1515"/>
      <c r="O37" s="1515"/>
    </row>
    <row r="38" spans="1:15">
      <c r="A38" s="1515"/>
      <c r="B38" s="1549"/>
      <c r="C38" s="1539"/>
      <c r="D38" s="1539"/>
      <c r="E38" s="1539"/>
      <c r="F38" s="1539"/>
      <c r="G38" s="1539"/>
      <c r="H38" s="1539"/>
      <c r="I38" s="1539"/>
      <c r="J38" s="1539"/>
      <c r="K38" s="1539"/>
      <c r="L38" s="1548"/>
      <c r="M38" s="1515"/>
      <c r="N38" s="1515"/>
      <c r="O38" s="1515"/>
    </row>
    <row r="39" spans="1:15">
      <c r="A39" s="1515"/>
      <c r="B39" s="1549"/>
      <c r="C39" s="1539"/>
      <c r="D39" s="1539"/>
      <c r="E39" s="1539"/>
      <c r="F39" s="1539"/>
      <c r="G39" s="1539"/>
      <c r="H39" s="1539"/>
      <c r="I39" s="1539"/>
      <c r="J39" s="1539"/>
      <c r="K39" s="1539"/>
      <c r="L39" s="1548"/>
      <c r="M39" s="1515"/>
      <c r="N39" s="1515"/>
      <c r="O39" s="1515"/>
    </row>
    <row r="40" spans="1:15" ht="15.75" thickBot="1">
      <c r="A40" s="1515"/>
      <c r="B40" s="1551"/>
      <c r="C40" s="1552"/>
      <c r="D40" s="1552"/>
      <c r="E40" s="1552"/>
      <c r="F40" s="1552"/>
      <c r="G40" s="1552"/>
      <c r="H40" s="1552"/>
      <c r="I40" s="1552"/>
      <c r="J40" s="1552"/>
      <c r="K40" s="1552"/>
      <c r="L40" s="1553"/>
      <c r="M40" s="1515"/>
      <c r="N40" s="1515"/>
      <c r="O40" s="1515"/>
    </row>
    <row r="41" spans="1:15" ht="15.75" thickTop="1">
      <c r="A41" s="1515"/>
      <c r="B41" s="1515"/>
      <c r="C41" s="1515"/>
      <c r="D41" s="1515"/>
      <c r="E41" s="1515"/>
      <c r="F41" s="1515"/>
      <c r="G41" s="1515"/>
      <c r="H41" s="1515"/>
      <c r="I41" s="1515"/>
      <c r="J41" s="1515"/>
      <c r="K41" s="1515"/>
      <c r="L41" s="1515"/>
      <c r="M41" s="1515"/>
      <c r="N41" s="1515"/>
      <c r="O41" s="1515"/>
    </row>
    <row r="42" spans="1:15">
      <c r="A42" s="1515"/>
      <c r="B42" s="1515"/>
      <c r="C42" s="1515"/>
      <c r="D42" s="1515"/>
      <c r="E42" s="1515"/>
      <c r="F42" s="1515"/>
      <c r="G42" s="1515"/>
      <c r="H42" s="1515"/>
      <c r="I42" s="1515"/>
      <c r="J42" s="1515"/>
      <c r="K42" s="1515"/>
      <c r="L42" s="1515"/>
      <c r="M42" s="1515"/>
      <c r="N42" s="1515"/>
      <c r="O42" s="1515"/>
    </row>
    <row r="43" spans="1:15">
      <c r="A43" s="1515"/>
      <c r="B43" s="1515"/>
      <c r="C43" s="1515"/>
      <c r="D43" s="1515"/>
      <c r="E43" s="1515"/>
      <c r="F43" s="1515"/>
      <c r="G43" s="1515"/>
      <c r="H43" s="1515"/>
      <c r="I43" s="1515"/>
      <c r="J43" s="1515"/>
      <c r="K43" s="1515"/>
      <c r="L43" s="1515"/>
      <c r="M43" s="1515"/>
      <c r="N43" s="1515"/>
      <c r="O43" s="1515"/>
    </row>
    <row r="44" spans="1:15">
      <c r="A44" s="1515"/>
      <c r="B44" s="1515"/>
      <c r="C44" s="1515"/>
      <c r="D44" s="1515"/>
      <c r="E44" s="1515"/>
      <c r="F44" s="1515"/>
      <c r="G44" s="1515"/>
      <c r="H44" s="1515"/>
      <c r="I44" s="1515"/>
      <c r="J44" s="1515"/>
      <c r="K44" s="1515"/>
      <c r="L44" s="1515"/>
      <c r="M44" s="1515"/>
      <c r="N44" s="1515"/>
      <c r="O44" s="1515"/>
    </row>
    <row r="45" spans="1:15">
      <c r="A45" s="1515"/>
      <c r="B45" s="1515"/>
      <c r="C45" s="1515"/>
      <c r="D45" s="1515"/>
      <c r="E45" s="1515"/>
      <c r="F45" s="1515"/>
      <c r="G45" s="1515"/>
      <c r="H45" s="1515"/>
      <c r="I45" s="1515"/>
      <c r="J45" s="1515"/>
      <c r="K45" s="1515"/>
      <c r="L45" s="1515"/>
      <c r="M45" s="1515"/>
      <c r="N45" s="1515"/>
      <c r="O45" s="1515"/>
    </row>
    <row r="46" spans="1:15">
      <c r="A46" s="1515"/>
      <c r="B46" s="1515"/>
      <c r="C46" s="1515"/>
      <c r="D46" s="1515"/>
      <c r="E46" s="1515"/>
      <c r="F46" s="1515"/>
      <c r="G46" s="1515"/>
      <c r="H46" s="1515"/>
      <c r="I46" s="1515"/>
      <c r="J46" s="1515"/>
      <c r="K46" s="1515"/>
      <c r="L46" s="1515"/>
      <c r="M46" s="1515"/>
      <c r="N46" s="1515"/>
      <c r="O46" s="1515"/>
    </row>
    <row r="47" spans="1:15">
      <c r="A47" s="1515"/>
      <c r="B47" s="1515"/>
      <c r="C47" s="1515"/>
      <c r="D47" s="1515"/>
      <c r="E47" s="1515"/>
      <c r="F47" s="1515"/>
      <c r="G47" s="1515"/>
      <c r="H47" s="1515"/>
      <c r="I47" s="1515"/>
      <c r="J47" s="1515"/>
      <c r="K47" s="1515"/>
      <c r="L47" s="1515"/>
      <c r="M47" s="1515"/>
      <c r="N47" s="1515"/>
      <c r="O47" s="1515"/>
    </row>
    <row r="48" spans="1:15">
      <c r="A48" s="1515"/>
      <c r="B48" s="1515"/>
      <c r="C48" s="1515"/>
      <c r="D48" s="1515"/>
      <c r="E48" s="1515"/>
      <c r="F48" s="1515"/>
      <c r="G48" s="1515"/>
      <c r="H48" s="1515"/>
      <c r="I48" s="1515"/>
      <c r="J48" s="1515"/>
      <c r="K48" s="1515"/>
      <c r="L48" s="1515"/>
      <c r="M48" s="1515"/>
      <c r="N48" s="1515"/>
      <c r="O48" s="1515"/>
    </row>
    <row r="49" spans="1:15">
      <c r="A49" s="1515"/>
      <c r="B49" s="1515"/>
      <c r="C49" s="1515"/>
      <c r="D49" s="1515"/>
      <c r="E49" s="1515"/>
      <c r="F49" s="1515"/>
      <c r="G49" s="1515"/>
      <c r="H49" s="1515"/>
      <c r="I49" s="1515"/>
      <c r="J49" s="1515"/>
      <c r="K49" s="1515"/>
      <c r="L49" s="1515"/>
      <c r="M49" s="1515"/>
      <c r="N49" s="1515"/>
      <c r="O49" s="1515"/>
    </row>
    <row r="50" spans="1:15">
      <c r="A50" s="1515"/>
      <c r="B50" s="1515"/>
      <c r="C50" s="1515"/>
      <c r="D50" s="1515"/>
      <c r="E50" s="1515"/>
      <c r="F50" s="1515"/>
      <c r="G50" s="1515"/>
      <c r="H50" s="1515"/>
      <c r="I50" s="1515"/>
      <c r="J50" s="1515"/>
      <c r="K50" s="1515"/>
      <c r="L50" s="1515"/>
      <c r="M50" s="1515"/>
      <c r="N50" s="1515"/>
      <c r="O50" s="1515"/>
    </row>
    <row r="51" spans="1:15">
      <c r="A51" s="1515"/>
      <c r="B51" s="1515"/>
      <c r="C51" s="1515"/>
      <c r="D51" s="1515"/>
      <c r="E51" s="1515"/>
      <c r="F51" s="1515"/>
      <c r="G51" s="1515"/>
      <c r="H51" s="1515"/>
      <c r="I51" s="1515"/>
      <c r="J51" s="1515"/>
      <c r="K51" s="1515"/>
      <c r="L51" s="1515"/>
      <c r="M51" s="1515"/>
      <c r="N51" s="1515"/>
      <c r="O51" s="1515"/>
    </row>
    <row r="52" spans="1:15">
      <c r="A52" s="1515"/>
      <c r="B52" s="1515"/>
      <c r="C52" s="1515"/>
      <c r="D52" s="1515"/>
      <c r="E52" s="1515"/>
      <c r="F52" s="1515"/>
      <c r="G52" s="1515"/>
      <c r="H52" s="1515"/>
      <c r="I52" s="1515"/>
      <c r="J52" s="1515"/>
      <c r="K52" s="1515"/>
      <c r="L52" s="1515"/>
      <c r="M52" s="1515"/>
      <c r="N52" s="1515"/>
      <c r="O52" s="1515"/>
    </row>
    <row r="53" spans="1:15">
      <c r="A53" s="1515"/>
      <c r="B53" s="1515"/>
      <c r="C53" s="1515"/>
      <c r="D53" s="1515"/>
      <c r="E53" s="1515"/>
      <c r="F53" s="1515"/>
      <c r="G53" s="1515"/>
      <c r="H53" s="1515"/>
      <c r="I53" s="1515"/>
      <c r="J53" s="1515"/>
      <c r="K53" s="1515"/>
      <c r="L53" s="1515"/>
      <c r="M53" s="1515"/>
      <c r="N53" s="1515"/>
      <c r="O53" s="1515"/>
    </row>
    <row r="54" spans="1:15">
      <c r="A54" s="1515"/>
      <c r="B54" s="1515"/>
      <c r="C54" s="1515"/>
      <c r="D54" s="1515"/>
      <c r="E54" s="1515"/>
      <c r="F54" s="1515"/>
      <c r="G54" s="1515"/>
      <c r="H54" s="1515"/>
      <c r="I54" s="1515"/>
      <c r="J54" s="1515"/>
      <c r="K54" s="1515"/>
      <c r="L54" s="1515"/>
      <c r="M54" s="1515"/>
      <c r="N54" s="1515"/>
      <c r="O54" s="1515"/>
    </row>
    <row r="55" spans="1:15">
      <c r="A55" s="1515"/>
      <c r="B55" s="1515"/>
      <c r="C55" s="1515"/>
      <c r="D55" s="1515"/>
      <c r="E55" s="1515"/>
      <c r="F55" s="1515"/>
      <c r="G55" s="1515"/>
      <c r="H55" s="1515"/>
      <c r="I55" s="1515"/>
      <c r="J55" s="1515"/>
      <c r="K55" s="1515"/>
      <c r="L55" s="1515"/>
      <c r="M55" s="1515"/>
      <c r="N55" s="1515"/>
      <c r="O55" s="1515"/>
    </row>
    <row r="56" spans="1:15">
      <c r="A56" s="1515"/>
      <c r="B56" s="1515"/>
      <c r="C56" s="1515"/>
      <c r="D56" s="1515"/>
      <c r="E56" s="1515"/>
      <c r="F56" s="1515"/>
      <c r="G56" s="1515"/>
      <c r="H56" s="1515"/>
      <c r="I56" s="1515"/>
      <c r="J56" s="1515"/>
      <c r="K56" s="1515"/>
      <c r="L56" s="1515"/>
      <c r="M56" s="1515"/>
      <c r="N56" s="1515"/>
      <c r="O56" s="1515"/>
    </row>
    <row r="57" spans="1:15">
      <c r="A57" s="1515"/>
      <c r="B57" s="1515"/>
      <c r="C57" s="1515"/>
      <c r="D57" s="1515"/>
      <c r="E57" s="1515"/>
      <c r="F57" s="1515"/>
      <c r="G57" s="1515"/>
      <c r="H57" s="1515"/>
      <c r="I57" s="1515"/>
      <c r="J57" s="1515"/>
      <c r="K57" s="1515"/>
      <c r="L57" s="1515"/>
      <c r="M57" s="1515"/>
      <c r="N57" s="1515"/>
      <c r="O57" s="1515"/>
    </row>
    <row r="58" spans="1:15">
      <c r="A58" s="1515"/>
      <c r="B58" s="1515"/>
      <c r="C58" s="1515"/>
      <c r="D58" s="1515"/>
      <c r="E58" s="1515"/>
      <c r="F58" s="1515"/>
      <c r="G58" s="1515"/>
      <c r="H58" s="1515"/>
      <c r="I58" s="1515"/>
      <c r="J58" s="1515"/>
      <c r="K58" s="1515"/>
      <c r="L58" s="1515"/>
      <c r="M58" s="1515"/>
      <c r="N58" s="1515"/>
      <c r="O58" s="1515"/>
    </row>
    <row r="59" spans="1:15">
      <c r="B59" s="1515"/>
      <c r="C59" s="1515"/>
      <c r="D59" s="1515"/>
      <c r="E59" s="1515"/>
      <c r="F59" s="1515"/>
      <c r="G59" s="1515"/>
      <c r="H59" s="1515"/>
      <c r="I59" s="1515"/>
      <c r="J59" s="1515"/>
      <c r="K59" s="1515"/>
    </row>
  </sheetData>
  <mergeCells count="1">
    <mergeCell ref="J7:K7"/>
  </mergeCells>
  <conditionalFormatting sqref="F18:F22">
    <cfRule type="expression" dxfId="57" priority="10" stopIfTrue="1">
      <formula>$F$14="Yes"</formula>
    </cfRule>
  </conditionalFormatting>
  <conditionalFormatting sqref="F14">
    <cfRule type="expression" dxfId="56" priority="22" stopIfTrue="1">
      <formula>$G$9="Yes"</formula>
    </cfRule>
  </conditionalFormatting>
  <conditionalFormatting sqref="D18:D22">
    <cfRule type="expression" dxfId="55" priority="23" stopIfTrue="1">
      <formula>$G$9&lt;&gt;""</formula>
    </cfRule>
  </conditionalFormatting>
  <conditionalFormatting sqref="E18:E22">
    <cfRule type="expression" dxfId="54" priority="24" stopIfTrue="1">
      <formula>$G$9&lt;&gt;""</formula>
    </cfRule>
  </conditionalFormatting>
  <conditionalFormatting sqref="I14">
    <cfRule type="expression" dxfId="53" priority="7" stopIfTrue="1">
      <formula>$G$9="Yes"</formula>
    </cfRule>
  </conditionalFormatting>
  <conditionalFormatting sqref="I15">
    <cfRule type="expression" dxfId="52" priority="6" stopIfTrue="1">
      <formula>$G$9="Yes"</formula>
    </cfRule>
  </conditionalFormatting>
  <conditionalFormatting sqref="G18:G22">
    <cfRule type="expression" dxfId="51" priority="5" stopIfTrue="1">
      <formula>$I$15="Yes"</formula>
    </cfRule>
  </conditionalFormatting>
  <conditionalFormatting sqref="H18:H22">
    <cfRule type="expression" dxfId="50" priority="4" stopIfTrue="1">
      <formula>$I$14="Yes"</formula>
    </cfRule>
  </conditionalFormatting>
  <conditionalFormatting sqref="D30:I30">
    <cfRule type="expression" dxfId="49" priority="3" stopIfTrue="1">
      <formula>$D$20=0</formula>
    </cfRule>
  </conditionalFormatting>
  <conditionalFormatting sqref="D31:I31">
    <cfRule type="expression" dxfId="48" priority="2" stopIfTrue="1">
      <formula>$D$21=0</formula>
    </cfRule>
  </conditionalFormatting>
  <conditionalFormatting sqref="D29:I29">
    <cfRule type="expression" dxfId="47" priority="1" stopIfTrue="1">
      <formula>$D$19=0</formula>
    </cfRule>
  </conditionalFormatting>
  <dataValidations count="2">
    <dataValidation type="list" allowBlank="1" showInputMessage="1" showErrorMessage="1" sqref="G9 I14:I15 F14">
      <formula1>"Yes,No"</formula1>
    </dataValidation>
    <dataValidation allowBlank="1" showInputMessage="1" showErrorMessage="1" prompt="Enter mm/dd/yyyy" sqref="J7:J8"/>
  </dataValidations>
  <pageMargins left="0.7" right="0.7" top="0.75" bottom="0.75" header="0.3" footer="0.3"/>
  <pageSetup scale="70" orientation="landscape" blackAndWhite="1" r:id="rId1"/>
  <legacyDrawing r:id="rId2"/>
</worksheet>
</file>

<file path=xl/worksheets/sheet9.xml><?xml version="1.0" encoding="utf-8"?>
<worksheet xmlns="http://schemas.openxmlformats.org/spreadsheetml/2006/main" xmlns:r="http://schemas.openxmlformats.org/officeDocument/2006/relationships">
  <sheetPr codeName="Sheet34">
    <pageSetUpPr fitToPage="1"/>
  </sheetPr>
  <dimension ref="A1:CW226"/>
  <sheetViews>
    <sheetView showGridLines="0" zoomScale="85" zoomScaleNormal="85" workbookViewId="0">
      <selection activeCell="I36" sqref="I36"/>
    </sheetView>
  </sheetViews>
  <sheetFormatPr defaultColWidth="8.85546875" defaultRowHeight="12.75"/>
  <cols>
    <col min="1" max="1" width="15.7109375" style="91" customWidth="1"/>
    <col min="2" max="2" width="4.5703125" style="91" customWidth="1"/>
    <col min="3" max="3" width="4.28515625" style="91" customWidth="1"/>
    <col min="4" max="4" width="11.7109375" style="91" customWidth="1"/>
    <col min="5" max="5" width="10.42578125" style="91" customWidth="1"/>
    <col min="6" max="6" width="5.42578125" style="91" customWidth="1"/>
    <col min="7" max="12" width="13.7109375" style="91" customWidth="1"/>
    <col min="13" max="13" width="14.42578125" style="91" customWidth="1"/>
    <col min="14" max="14" width="11.5703125" style="91" customWidth="1"/>
    <col min="15" max="15" width="12.140625" style="91" customWidth="1"/>
    <col min="16" max="16" width="17.85546875" style="91" customWidth="1"/>
    <col min="17" max="17" width="12.140625" style="134" customWidth="1"/>
    <col min="18" max="18" width="17.85546875" style="134" customWidth="1"/>
    <col min="19" max="19" width="12.140625" style="134" customWidth="1"/>
    <col min="20" max="20" width="17.85546875" style="91" customWidth="1"/>
    <col min="21" max="16384" width="8.85546875" style="91"/>
  </cols>
  <sheetData>
    <row r="1" spans="1:101">
      <c r="A1" s="185"/>
      <c r="B1" s="188" t="str">
        <f>TestYear &amp; " Test Year"</f>
        <v>2015 Test Year</v>
      </c>
      <c r="C1" s="297"/>
      <c r="D1" s="186"/>
      <c r="E1" s="185"/>
      <c r="F1" s="185"/>
      <c r="G1" s="185"/>
      <c r="H1" s="185"/>
      <c r="I1" s="185"/>
      <c r="J1" s="185"/>
      <c r="K1" s="185"/>
      <c r="L1" s="185"/>
      <c r="M1" s="185"/>
      <c r="N1" s="307" t="s">
        <v>1106</v>
      </c>
      <c r="O1" s="185"/>
      <c r="P1" s="185"/>
      <c r="CU1" s="93"/>
      <c r="CV1" s="93"/>
      <c r="CW1" s="93"/>
    </row>
    <row r="2" spans="1:101">
      <c r="A2" s="185"/>
      <c r="B2" s="185"/>
      <c r="C2" s="185"/>
      <c r="D2" s="298"/>
      <c r="E2" s="185"/>
      <c r="F2" s="357"/>
      <c r="G2" s="358"/>
      <c r="H2" s="358"/>
      <c r="I2" s="363" t="str">
        <f>Utility</f>
        <v>MADISON WATER UTILITY</v>
      </c>
      <c r="J2" s="358"/>
      <c r="K2" s="358"/>
      <c r="L2" s="358"/>
      <c r="M2" s="358"/>
      <c r="N2" s="358"/>
      <c r="O2" s="359"/>
      <c r="P2" s="359"/>
      <c r="Q2" s="1446"/>
      <c r="R2" s="1446"/>
      <c r="S2" s="1446"/>
      <c r="CU2" s="93"/>
      <c r="CV2" s="177">
        <f>IF(Attach1!C8="100 Cubic Feet (CCF)",1, 2)</f>
        <v>1</v>
      </c>
      <c r="CW2" s="93"/>
    </row>
    <row r="3" spans="1:101">
      <c r="A3" s="185"/>
      <c r="B3" s="185"/>
      <c r="C3" s="185"/>
      <c r="D3" s="185"/>
      <c r="E3" s="185"/>
      <c r="F3" s="185"/>
      <c r="G3" s="185"/>
      <c r="H3" s="185"/>
      <c r="I3" s="191"/>
      <c r="J3" s="185"/>
      <c r="K3" s="185"/>
      <c r="L3" s="185"/>
      <c r="M3" s="185"/>
      <c r="N3" s="185"/>
      <c r="O3" s="185"/>
      <c r="P3" s="185"/>
      <c r="CU3" s="93"/>
      <c r="CV3" s="93"/>
      <c r="CW3" s="93"/>
    </row>
    <row r="4" spans="1:101" ht="28.5" customHeight="1" thickBot="1">
      <c r="A4" s="185"/>
      <c r="B4" s="185"/>
      <c r="C4" s="185"/>
      <c r="D4" s="185"/>
      <c r="E4" s="185"/>
      <c r="F4" s="360"/>
      <c r="G4" s="187"/>
      <c r="H4" s="187"/>
      <c r="I4" s="362" t="s">
        <v>1008</v>
      </c>
      <c r="J4" s="187"/>
      <c r="K4" s="187"/>
      <c r="L4" s="187"/>
      <c r="M4" s="187"/>
      <c r="N4" s="187"/>
      <c r="O4" s="361"/>
      <c r="P4" s="361"/>
      <c r="Q4" s="1447"/>
      <c r="R4" s="1447"/>
      <c r="S4" s="1447"/>
    </row>
    <row r="5" spans="1:101" ht="14.25" thickTop="1" thickBot="1">
      <c r="A5" s="185"/>
      <c r="B5" s="365"/>
      <c r="C5" s="366"/>
      <c r="D5" s="367"/>
      <c r="E5" s="366"/>
      <c r="F5" s="366"/>
      <c r="G5" s="366"/>
      <c r="H5" s="366"/>
      <c r="I5" s="366"/>
      <c r="J5" s="366"/>
      <c r="K5" s="366"/>
      <c r="L5" s="366"/>
      <c r="M5" s="366"/>
      <c r="N5" s="368"/>
      <c r="O5" s="185"/>
      <c r="P5" s="185"/>
    </row>
    <row r="6" spans="1:101" ht="15" customHeight="1" thickBot="1">
      <c r="A6" s="185"/>
      <c r="B6" s="283"/>
      <c r="C6" s="272"/>
      <c r="D6" s="272"/>
      <c r="E6" s="356" t="s">
        <v>969</v>
      </c>
      <c r="F6" s="330"/>
      <c r="G6" s="387">
        <f>IF(Question2="Monthly",12,IF(Question2="Quarterly",4,Attach1!E53))</f>
        <v>12</v>
      </c>
      <c r="H6" s="351"/>
      <c r="I6" s="351"/>
      <c r="J6" s="351"/>
      <c r="K6" s="369" t="s">
        <v>251</v>
      </c>
      <c r="L6" s="1930">
        <f>Attach2A!J7</f>
        <v>41820</v>
      </c>
      <c r="M6" s="1931"/>
      <c r="N6" s="370"/>
      <c r="O6" s="299"/>
      <c r="P6" s="300"/>
      <c r="Q6" s="1448"/>
      <c r="R6" s="1448"/>
      <c r="S6" s="1449"/>
    </row>
    <row r="7" spans="1:101">
      <c r="A7" s="185"/>
      <c r="B7" s="283"/>
      <c r="C7" s="272"/>
      <c r="D7" s="272"/>
      <c r="E7" s="272"/>
      <c r="F7" s="272"/>
      <c r="G7" s="272"/>
      <c r="H7" s="272"/>
      <c r="I7" s="272"/>
      <c r="J7" s="272"/>
      <c r="K7" s="272"/>
      <c r="L7" s="272"/>
      <c r="M7" s="272"/>
      <c r="N7" s="371"/>
      <c r="O7" s="185"/>
      <c r="P7" s="185"/>
    </row>
    <row r="8" spans="1:101" ht="25.5">
      <c r="A8" s="185"/>
      <c r="B8" s="283"/>
      <c r="C8" s="272"/>
      <c r="D8" s="275"/>
      <c r="E8" s="272"/>
      <c r="F8" s="272"/>
      <c r="G8" s="389" t="s">
        <v>9</v>
      </c>
      <c r="H8" s="388" t="s">
        <v>938</v>
      </c>
      <c r="I8" s="389" t="s">
        <v>252</v>
      </c>
      <c r="J8" s="349" t="s">
        <v>10</v>
      </c>
      <c r="K8" s="390" t="s">
        <v>11</v>
      </c>
      <c r="L8" s="349" t="s">
        <v>908</v>
      </c>
      <c r="M8" s="352"/>
      <c r="N8" s="372"/>
      <c r="O8" s="301"/>
      <c r="P8" s="302"/>
      <c r="Q8" s="1450"/>
      <c r="R8" s="1451"/>
      <c r="S8" s="1450"/>
      <c r="T8" s="295"/>
    </row>
    <row r="9" spans="1:101">
      <c r="A9" s="185"/>
      <c r="B9" s="283"/>
      <c r="C9" s="272"/>
      <c r="D9" s="275"/>
      <c r="E9" s="272"/>
      <c r="F9" s="272"/>
      <c r="G9" s="351"/>
      <c r="H9" s="354"/>
      <c r="I9" s="351"/>
      <c r="J9" s="353"/>
      <c r="K9" s="355"/>
      <c r="L9" s="353"/>
      <c r="M9" s="352"/>
      <c r="N9" s="372"/>
      <c r="O9" s="301"/>
      <c r="P9" s="302"/>
      <c r="Q9" s="1450"/>
      <c r="R9" s="1451"/>
      <c r="S9" s="1450"/>
      <c r="T9" s="295"/>
    </row>
    <row r="10" spans="1:101">
      <c r="A10" s="185"/>
      <c r="B10" s="283"/>
      <c r="C10" s="272"/>
      <c r="D10" s="218"/>
      <c r="E10" s="273"/>
      <c r="F10" s="273"/>
      <c r="G10" s="1932" t="s">
        <v>966</v>
      </c>
      <c r="H10" s="1932" t="s">
        <v>966</v>
      </c>
      <c r="I10" s="1932" t="s">
        <v>966</v>
      </c>
      <c r="J10" s="1932" t="s">
        <v>966</v>
      </c>
      <c r="K10" s="1932" t="s">
        <v>966</v>
      </c>
      <c r="L10" s="1932" t="s">
        <v>966</v>
      </c>
      <c r="M10" s="346"/>
      <c r="N10" s="375"/>
      <c r="O10" s="303"/>
      <c r="P10" s="308"/>
      <c r="Q10" s="1452"/>
      <c r="R10" s="1456"/>
      <c r="S10" s="1452"/>
      <c r="T10" s="296"/>
    </row>
    <row r="11" spans="1:101">
      <c r="A11" s="185"/>
      <c r="B11" s="283"/>
      <c r="C11" s="272"/>
      <c r="D11" s="348" t="s">
        <v>236</v>
      </c>
      <c r="E11" s="348" t="s">
        <v>967</v>
      </c>
      <c r="F11" s="345"/>
      <c r="G11" s="1933"/>
      <c r="H11" s="1933"/>
      <c r="I11" s="1933"/>
      <c r="J11" s="1933"/>
      <c r="K11" s="1933"/>
      <c r="L11" s="1933"/>
      <c r="M11" s="350" t="s">
        <v>752</v>
      </c>
      <c r="N11" s="376"/>
      <c r="O11" s="303"/>
      <c r="P11" s="309"/>
      <c r="Q11" s="1452"/>
      <c r="R11" s="1457"/>
      <c r="S11" s="1452"/>
      <c r="T11" s="100"/>
    </row>
    <row r="12" spans="1:101">
      <c r="A12" s="185"/>
      <c r="B12" s="283"/>
      <c r="C12" s="272"/>
      <c r="D12" s="272"/>
      <c r="E12" s="272"/>
      <c r="F12" s="272"/>
      <c r="G12" s="272"/>
      <c r="H12" s="324"/>
      <c r="I12" s="272"/>
      <c r="J12" s="272"/>
      <c r="K12" s="272"/>
      <c r="L12" s="324"/>
      <c r="M12" s="324"/>
      <c r="N12" s="377"/>
      <c r="O12" s="303"/>
      <c r="P12" s="306"/>
      <c r="Q12" s="1452"/>
      <c r="R12" s="1455"/>
      <c r="S12" s="1452"/>
      <c r="T12" s="96"/>
    </row>
    <row r="13" spans="1:101" ht="15" customHeight="1">
      <c r="A13" s="185"/>
      <c r="B13" s="283"/>
      <c r="C13" s="272"/>
      <c r="D13" s="218" t="s">
        <v>258</v>
      </c>
      <c r="E13" s="343">
        <v>4.5</v>
      </c>
      <c r="F13" s="321"/>
      <c r="G13" s="334">
        <f>AVERAGE(56518)</f>
        <v>56518</v>
      </c>
      <c r="H13" s="334">
        <v>0</v>
      </c>
      <c r="I13" s="332">
        <f>AVERAGE((1025+2272))</f>
        <v>3297</v>
      </c>
      <c r="J13" s="334">
        <f>AVERAGE(1)</f>
        <v>1</v>
      </c>
      <c r="K13" s="332">
        <f>AVERAGE(61)</f>
        <v>61</v>
      </c>
      <c r="L13" s="334">
        <v>0</v>
      </c>
      <c r="M13" s="337">
        <f t="shared" ref="M13:M25" si="0">SUM(G13+H13+I13+J13+K13+L13)</f>
        <v>59877</v>
      </c>
      <c r="N13" s="374"/>
      <c r="O13" s="303"/>
      <c r="P13" s="304"/>
      <c r="Q13" s="1452"/>
      <c r="R13" s="1453"/>
      <c r="S13" s="1452"/>
      <c r="T13" s="132"/>
    </row>
    <row r="14" spans="1:101" ht="15" customHeight="1">
      <c r="A14" s="185"/>
      <c r="B14" s="283"/>
      <c r="C14" s="272"/>
      <c r="D14" s="218" t="s">
        <v>259</v>
      </c>
      <c r="E14" s="343">
        <v>5.25</v>
      </c>
      <c r="F14" s="321"/>
      <c r="G14" s="335">
        <f>AVERAGE(554)</f>
        <v>554</v>
      </c>
      <c r="H14" s="335">
        <v>0</v>
      </c>
      <c r="I14" s="333">
        <f>AVERAGE((954+737))</f>
        <v>1691</v>
      </c>
      <c r="J14" s="335">
        <f>AVERAGE(11)</f>
        <v>11</v>
      </c>
      <c r="K14" s="333">
        <f>AVERAGE(52)</f>
        <v>52</v>
      </c>
      <c r="L14" s="335">
        <v>0</v>
      </c>
      <c r="M14" s="338">
        <f t="shared" si="0"/>
        <v>2308</v>
      </c>
      <c r="N14" s="374"/>
      <c r="O14" s="303"/>
      <c r="P14" s="304"/>
      <c r="Q14" s="1452"/>
      <c r="R14" s="1453"/>
      <c r="S14" s="1452"/>
      <c r="T14" s="132"/>
    </row>
    <row r="15" spans="1:101" ht="15" customHeight="1">
      <c r="A15" s="185"/>
      <c r="B15" s="283"/>
      <c r="C15" s="272"/>
      <c r="D15" s="218" t="s">
        <v>260</v>
      </c>
      <c r="E15" s="343">
        <v>7.75</v>
      </c>
      <c r="F15" s="321"/>
      <c r="G15" s="335">
        <f>AVERAGE(44)</f>
        <v>44</v>
      </c>
      <c r="H15" s="335">
        <v>0</v>
      </c>
      <c r="I15" s="333">
        <f>AVERAGE((997+874))</f>
        <v>1871</v>
      </c>
      <c r="J15" s="335">
        <f>AVERAGE(14)</f>
        <v>14</v>
      </c>
      <c r="K15" s="333">
        <f>AVERAGE(119)</f>
        <v>119</v>
      </c>
      <c r="L15" s="335">
        <v>0</v>
      </c>
      <c r="M15" s="338">
        <f t="shared" si="0"/>
        <v>2048</v>
      </c>
      <c r="N15" s="374"/>
      <c r="O15" s="303"/>
      <c r="P15" s="304"/>
      <c r="Q15" s="1452"/>
      <c r="R15" s="1453"/>
      <c r="S15" s="1452"/>
      <c r="T15" s="132"/>
    </row>
    <row r="16" spans="1:101" ht="15" customHeight="1">
      <c r="A16" s="185"/>
      <c r="B16" s="283"/>
      <c r="C16" s="272"/>
      <c r="D16" s="218" t="s">
        <v>261</v>
      </c>
      <c r="E16" s="343">
        <v>10</v>
      </c>
      <c r="F16" s="321"/>
      <c r="G16" s="335">
        <v>0</v>
      </c>
      <c r="H16" s="335">
        <v>0</v>
      </c>
      <c r="I16" s="333">
        <v>0</v>
      </c>
      <c r="J16" s="335">
        <v>0</v>
      </c>
      <c r="K16" s="333">
        <v>0</v>
      </c>
      <c r="L16" s="335">
        <v>0</v>
      </c>
      <c r="M16" s="338">
        <f t="shared" si="0"/>
        <v>0</v>
      </c>
      <c r="N16" s="374"/>
      <c r="O16" s="303"/>
      <c r="P16" s="304"/>
      <c r="Q16" s="1452"/>
      <c r="R16" s="1453"/>
      <c r="S16" s="1452"/>
      <c r="T16" s="132"/>
    </row>
    <row r="17" spans="1:20" ht="15" customHeight="1">
      <c r="A17" s="185"/>
      <c r="B17" s="283"/>
      <c r="C17" s="272"/>
      <c r="D17" s="218" t="s">
        <v>262</v>
      </c>
      <c r="E17" s="343">
        <v>12.5</v>
      </c>
      <c r="F17" s="321"/>
      <c r="G17" s="335">
        <v>0</v>
      </c>
      <c r="H17" s="335">
        <v>0</v>
      </c>
      <c r="I17" s="333">
        <f>AVERAGE((597+434))</f>
        <v>1031</v>
      </c>
      <c r="J17" s="335">
        <f>AVERAGE(5)</f>
        <v>5</v>
      </c>
      <c r="K17" s="333">
        <f>AVERAGE(51)</f>
        <v>51</v>
      </c>
      <c r="L17" s="335">
        <v>0</v>
      </c>
      <c r="M17" s="338">
        <f t="shared" si="0"/>
        <v>1087</v>
      </c>
      <c r="N17" s="374"/>
      <c r="O17" s="303"/>
      <c r="P17" s="304"/>
      <c r="Q17" s="1452"/>
      <c r="R17" s="1453"/>
      <c r="S17" s="1452"/>
      <c r="T17" s="132"/>
    </row>
    <row r="18" spans="1:20" ht="15" customHeight="1">
      <c r="A18" s="185"/>
      <c r="B18" s="283"/>
      <c r="C18" s="272"/>
      <c r="D18" s="218" t="s">
        <v>263</v>
      </c>
      <c r="E18" s="343">
        <v>18.5</v>
      </c>
      <c r="F18" s="321"/>
      <c r="G18" s="335">
        <v>0</v>
      </c>
      <c r="H18" s="335">
        <v>0</v>
      </c>
      <c r="I18" s="333">
        <f>AVERAGE((482+368))</f>
        <v>850</v>
      </c>
      <c r="J18" s="335">
        <f>AVERAGE(8)</f>
        <v>8</v>
      </c>
      <c r="K18" s="333">
        <f>AVERAGE(87)</f>
        <v>87</v>
      </c>
      <c r="L18" s="335">
        <v>0</v>
      </c>
      <c r="M18" s="338">
        <f t="shared" si="0"/>
        <v>945</v>
      </c>
      <c r="N18" s="374"/>
      <c r="O18" s="303"/>
      <c r="P18" s="304"/>
      <c r="Q18" s="1452"/>
      <c r="R18" s="1453"/>
      <c r="S18" s="1452"/>
      <c r="T18" s="132"/>
    </row>
    <row r="19" spans="1:20" ht="15" customHeight="1">
      <c r="A19" s="185"/>
      <c r="B19" s="283"/>
      <c r="C19" s="272"/>
      <c r="D19" s="218" t="s">
        <v>264</v>
      </c>
      <c r="E19" s="343"/>
      <c r="F19" s="321"/>
      <c r="G19" s="335">
        <v>0</v>
      </c>
      <c r="H19" s="335">
        <v>0</v>
      </c>
      <c r="I19" s="333">
        <v>0</v>
      </c>
      <c r="J19" s="335">
        <v>0</v>
      </c>
      <c r="K19" s="333">
        <v>0</v>
      </c>
      <c r="L19" s="335">
        <v>0</v>
      </c>
      <c r="M19" s="338">
        <f t="shared" si="0"/>
        <v>0</v>
      </c>
      <c r="N19" s="374"/>
      <c r="O19" s="303"/>
      <c r="P19" s="304"/>
      <c r="Q19" s="1452"/>
      <c r="R19" s="1453"/>
      <c r="S19" s="1452"/>
      <c r="T19" s="132"/>
    </row>
    <row r="20" spans="1:20" ht="15" customHeight="1">
      <c r="A20" s="185"/>
      <c r="B20" s="283"/>
      <c r="C20" s="272"/>
      <c r="D20" s="218" t="s">
        <v>265</v>
      </c>
      <c r="E20" s="343">
        <v>30</v>
      </c>
      <c r="F20" s="321"/>
      <c r="G20" s="335">
        <v>0</v>
      </c>
      <c r="H20" s="335">
        <v>0</v>
      </c>
      <c r="I20" s="333">
        <f>AVERAGE((63+67))</f>
        <v>130</v>
      </c>
      <c r="J20" s="335">
        <f>AVERAGE(4)</f>
        <v>4</v>
      </c>
      <c r="K20" s="333">
        <f>AVERAGE(43)</f>
        <v>43</v>
      </c>
      <c r="L20" s="335">
        <v>0</v>
      </c>
      <c r="M20" s="338">
        <f t="shared" si="0"/>
        <v>177</v>
      </c>
      <c r="N20" s="374"/>
      <c r="O20" s="303"/>
      <c r="P20" s="304"/>
      <c r="Q20" s="1452"/>
      <c r="R20" s="1453"/>
      <c r="S20" s="1452"/>
      <c r="T20" s="132"/>
    </row>
    <row r="21" spans="1:20" ht="15" customHeight="1">
      <c r="A21" s="185"/>
      <c r="B21" s="283"/>
      <c r="C21" s="272"/>
      <c r="D21" s="218" t="s">
        <v>266</v>
      </c>
      <c r="E21" s="343">
        <v>45</v>
      </c>
      <c r="F21" s="321"/>
      <c r="G21" s="335">
        <v>0</v>
      </c>
      <c r="H21" s="335">
        <v>0</v>
      </c>
      <c r="I21" s="333">
        <f>AVERAGE((6+34))</f>
        <v>40</v>
      </c>
      <c r="J21" s="335">
        <f>AVERAGE(4)</f>
        <v>4</v>
      </c>
      <c r="K21" s="333">
        <f>AVERAGE(48)</f>
        <v>48</v>
      </c>
      <c r="L21" s="335">
        <v>0</v>
      </c>
      <c r="M21" s="338">
        <f t="shared" si="0"/>
        <v>92</v>
      </c>
      <c r="N21" s="374"/>
      <c r="O21" s="303"/>
      <c r="P21" s="304"/>
      <c r="Q21" s="1452"/>
      <c r="R21" s="1453"/>
      <c r="S21" s="1452"/>
      <c r="T21" s="132"/>
    </row>
    <row r="22" spans="1:20" ht="15" customHeight="1">
      <c r="A22" s="185"/>
      <c r="B22" s="283"/>
      <c r="C22" s="272"/>
      <c r="D22" s="218" t="s">
        <v>267</v>
      </c>
      <c r="E22" s="343">
        <v>77.5</v>
      </c>
      <c r="F22" s="321"/>
      <c r="G22" s="335">
        <v>0</v>
      </c>
      <c r="H22" s="335">
        <v>0</v>
      </c>
      <c r="I22" s="333">
        <f>AVERAGE((1+7))</f>
        <v>8</v>
      </c>
      <c r="J22" s="335">
        <f>AVERAGE(1)</f>
        <v>1</v>
      </c>
      <c r="K22" s="333">
        <f>AVERAGE(17)</f>
        <v>17</v>
      </c>
      <c r="L22" s="335">
        <v>0</v>
      </c>
      <c r="M22" s="338">
        <f t="shared" si="0"/>
        <v>26</v>
      </c>
      <c r="N22" s="374"/>
      <c r="O22" s="303"/>
      <c r="P22" s="304"/>
      <c r="Q22" s="1452"/>
      <c r="R22" s="1453"/>
      <c r="S22" s="1452"/>
      <c r="T22" s="132"/>
    </row>
    <row r="23" spans="1:20" ht="15" customHeight="1">
      <c r="A23" s="185"/>
      <c r="B23" s="283"/>
      <c r="C23" s="272"/>
      <c r="D23" s="218" t="s">
        <v>268</v>
      </c>
      <c r="E23" s="343">
        <v>120</v>
      </c>
      <c r="F23" s="321"/>
      <c r="G23" s="335">
        <v>0</v>
      </c>
      <c r="H23" s="335">
        <v>0</v>
      </c>
      <c r="I23" s="333">
        <f>AVERAGE(2)</f>
        <v>2</v>
      </c>
      <c r="J23" s="335">
        <f>AVERAGE(0)</f>
        <v>0</v>
      </c>
      <c r="K23" s="333">
        <f>AVERAGE(4)</f>
        <v>4</v>
      </c>
      <c r="L23" s="335">
        <v>0</v>
      </c>
      <c r="M23" s="338">
        <f t="shared" si="0"/>
        <v>6</v>
      </c>
      <c r="N23" s="374"/>
      <c r="O23" s="303"/>
      <c r="P23" s="304"/>
      <c r="Q23" s="1452"/>
      <c r="R23" s="1453"/>
      <c r="S23" s="1452"/>
      <c r="T23" s="132"/>
    </row>
    <row r="24" spans="1:20" ht="15" customHeight="1">
      <c r="A24" s="185"/>
      <c r="B24" s="283"/>
      <c r="C24" s="272"/>
      <c r="D24" s="218" t="s">
        <v>269</v>
      </c>
      <c r="E24" s="343">
        <v>176</v>
      </c>
      <c r="F24" s="321"/>
      <c r="G24" s="335">
        <v>0</v>
      </c>
      <c r="H24" s="335">
        <v>0</v>
      </c>
      <c r="I24" s="333">
        <v>0</v>
      </c>
      <c r="J24" s="335">
        <v>0</v>
      </c>
      <c r="K24" s="333">
        <f>AVERAGE(5)</f>
        <v>5</v>
      </c>
      <c r="L24" s="335">
        <v>0</v>
      </c>
      <c r="M24" s="338">
        <f t="shared" si="0"/>
        <v>5</v>
      </c>
      <c r="N24" s="374"/>
      <c r="O24" s="303"/>
      <c r="P24" s="304"/>
      <c r="Q24" s="1452"/>
      <c r="R24" s="1453"/>
      <c r="S24" s="1452"/>
      <c r="T24" s="132"/>
    </row>
    <row r="25" spans="1:20" ht="15" customHeight="1">
      <c r="A25" s="185"/>
      <c r="B25" s="283"/>
      <c r="C25" s="272"/>
      <c r="D25" s="218" t="s">
        <v>270</v>
      </c>
      <c r="E25" s="343">
        <v>235</v>
      </c>
      <c r="F25" s="321"/>
      <c r="G25" s="336">
        <v>0</v>
      </c>
      <c r="H25" s="336">
        <v>0</v>
      </c>
      <c r="I25" s="331">
        <v>0</v>
      </c>
      <c r="J25" s="336">
        <v>0</v>
      </c>
      <c r="K25" s="331">
        <f>AVERAGE(0)</f>
        <v>0</v>
      </c>
      <c r="L25" s="336">
        <v>0</v>
      </c>
      <c r="M25" s="339">
        <f t="shared" si="0"/>
        <v>0</v>
      </c>
      <c r="N25" s="374"/>
      <c r="O25" s="303"/>
      <c r="P25" s="304"/>
      <c r="Q25" s="1452"/>
      <c r="R25" s="1453"/>
      <c r="S25" s="1452"/>
      <c r="T25" s="132"/>
    </row>
    <row r="26" spans="1:20" ht="15" customHeight="1">
      <c r="A26" s="185"/>
      <c r="B26" s="283"/>
      <c r="C26" s="272"/>
      <c r="D26" s="272"/>
      <c r="E26" s="272"/>
      <c r="F26" s="272"/>
      <c r="G26" s="325"/>
      <c r="H26" s="325"/>
      <c r="I26" s="325"/>
      <c r="J26" s="325"/>
      <c r="K26" s="325"/>
      <c r="L26" s="325"/>
      <c r="M26" s="325"/>
      <c r="N26" s="378"/>
      <c r="O26" s="310"/>
      <c r="P26" s="310"/>
      <c r="Q26" s="1458"/>
      <c r="R26" s="1459"/>
      <c r="S26" s="1458"/>
      <c r="T26" s="101"/>
    </row>
    <row r="27" spans="1:20" ht="15" customHeight="1">
      <c r="A27" s="185"/>
      <c r="B27" s="283"/>
      <c r="C27" s="272"/>
      <c r="D27" s="344"/>
      <c r="E27" s="347" t="s">
        <v>962</v>
      </c>
      <c r="F27" s="272"/>
      <c r="G27" s="340">
        <f t="shared" ref="G27:M27" si="1">SUM(G13:G25)</f>
        <v>57116</v>
      </c>
      <c r="H27" s="340">
        <f t="shared" si="1"/>
        <v>0</v>
      </c>
      <c r="I27" s="340">
        <f t="shared" si="1"/>
        <v>8920</v>
      </c>
      <c r="J27" s="340">
        <f t="shared" si="1"/>
        <v>48</v>
      </c>
      <c r="K27" s="340">
        <f t="shared" si="1"/>
        <v>487</v>
      </c>
      <c r="L27" s="340">
        <f t="shared" si="1"/>
        <v>0</v>
      </c>
      <c r="M27" s="340">
        <f t="shared" si="1"/>
        <v>66571</v>
      </c>
      <c r="N27" s="374"/>
      <c r="O27" s="305"/>
      <c r="P27" s="304"/>
      <c r="Q27" s="1454"/>
      <c r="R27" s="1453"/>
      <c r="S27" s="1454"/>
      <c r="T27" s="132"/>
    </row>
    <row r="28" spans="1:20" ht="15" customHeight="1" thickBot="1">
      <c r="A28" s="185"/>
      <c r="B28" s="283"/>
      <c r="C28" s="272"/>
      <c r="D28" s="344"/>
      <c r="E28" s="347" t="s">
        <v>963</v>
      </c>
      <c r="F28" s="272"/>
      <c r="G28" s="364">
        <f t="shared" ref="G28:M28" si="2">SUM(PRODUCT(G13,$E$13),PRODUCT(G14,$E$14),PRODUCT(G15,$E$15),PRODUCT(G16,$E$16),PRODUCT(G17,$E$17),PRODUCT(G18,$E$18),PRODUCT(G19,$E$19),PRODUCT(G20,$E$20),PRODUCT(G21,$E$21),PRODUCT(G22,$E$22),PRODUCT(G23,$E$23),PRODUCT(G24,$E$24),PRODUCT(G25,$E$25))*BillingPeriods</f>
        <v>3090966</v>
      </c>
      <c r="H28" s="364">
        <f t="shared" si="2"/>
        <v>0</v>
      </c>
      <c r="I28" s="364">
        <f t="shared" si="2"/>
        <v>880644</v>
      </c>
      <c r="J28" s="364">
        <f t="shared" si="2"/>
        <v>9105</v>
      </c>
      <c r="K28" s="364">
        <f t="shared" si="2"/>
        <v>118131</v>
      </c>
      <c r="L28" s="364">
        <f t="shared" si="2"/>
        <v>0</v>
      </c>
      <c r="M28" s="341">
        <f t="shared" si="2"/>
        <v>4098846</v>
      </c>
      <c r="N28" s="379"/>
      <c r="O28" s="311"/>
      <c r="P28" s="312"/>
      <c r="Q28" s="1460"/>
      <c r="R28" s="1460"/>
      <c r="S28" s="1461"/>
      <c r="T28" s="102"/>
    </row>
    <row r="29" spans="1:20" ht="15" customHeight="1" thickTop="1">
      <c r="A29" s="185"/>
      <c r="B29" s="283"/>
      <c r="C29" s="272"/>
      <c r="D29" s="344"/>
      <c r="E29" s="347"/>
      <c r="F29" s="272"/>
      <c r="G29" s="322"/>
      <c r="H29" s="326"/>
      <c r="I29" s="326"/>
      <c r="J29" s="326"/>
      <c r="K29" s="322"/>
      <c r="L29" s="326"/>
      <c r="M29" s="322"/>
      <c r="N29" s="379"/>
      <c r="O29" s="311"/>
      <c r="P29" s="312"/>
      <c r="Q29" s="1460"/>
      <c r="R29" s="1460"/>
      <c r="S29" s="1461"/>
      <c r="T29" s="102"/>
    </row>
    <row r="30" spans="1:20" ht="15" customHeight="1">
      <c r="A30" s="185"/>
      <c r="B30" s="283"/>
      <c r="C30" s="272"/>
      <c r="D30" s="344"/>
      <c r="E30" s="347" t="s">
        <v>1007</v>
      </c>
      <c r="F30" s="272"/>
      <c r="G30" s="1804">
        <f>Attach2A!D35</f>
        <v>8180121.6000000006</v>
      </c>
      <c r="H30" s="1804">
        <f>Attach2A!E35</f>
        <v>0</v>
      </c>
      <c r="I30" s="1804">
        <f>Attach2A!F35</f>
        <v>7982044.9299999997</v>
      </c>
      <c r="J30" s="1804">
        <f>Attach2A!G35</f>
        <v>1066698.56</v>
      </c>
      <c r="K30" s="1804">
        <f>Attach2A!H35</f>
        <v>2583456.58</v>
      </c>
      <c r="L30" s="1533">
        <f>Attach2A!I35</f>
        <v>0</v>
      </c>
      <c r="M30" s="1804">
        <f>Attach2A!J35</f>
        <v>19812321.670000002</v>
      </c>
      <c r="N30" s="379"/>
      <c r="O30" s="311"/>
      <c r="P30" s="312"/>
      <c r="Q30" s="1460"/>
      <c r="R30" s="1460"/>
      <c r="S30" s="1461"/>
      <c r="T30" s="102"/>
    </row>
    <row r="31" spans="1:20" ht="15" customHeight="1">
      <c r="A31" s="185"/>
      <c r="B31" s="283"/>
      <c r="C31" s="272"/>
      <c r="D31" s="344"/>
      <c r="E31" s="347"/>
      <c r="F31" s="272"/>
      <c r="G31" s="322"/>
      <c r="H31" s="326"/>
      <c r="I31" s="326"/>
      <c r="J31" s="326"/>
      <c r="K31" s="322"/>
      <c r="L31" s="326"/>
      <c r="M31" s="322"/>
      <c r="N31" s="379"/>
      <c r="O31" s="311"/>
      <c r="P31" s="312"/>
      <c r="Q31" s="1460"/>
      <c r="R31" s="1460"/>
      <c r="S31" s="1461"/>
      <c r="T31" s="102"/>
    </row>
    <row r="32" spans="1:20" ht="15" customHeight="1">
      <c r="A32" s="185"/>
      <c r="B32" s="283"/>
      <c r="C32" s="272"/>
      <c r="D32" s="344"/>
      <c r="E32" s="347" t="s">
        <v>271</v>
      </c>
      <c r="F32" s="272"/>
      <c r="G32" s="342">
        <v>0</v>
      </c>
      <c r="H32" s="342">
        <v>0</v>
      </c>
      <c r="I32" s="342">
        <v>0</v>
      </c>
      <c r="J32" s="342">
        <v>0</v>
      </c>
      <c r="K32" s="342">
        <v>0</v>
      </c>
      <c r="L32" s="1493">
        <v>0</v>
      </c>
      <c r="M32" s="1494">
        <f>SUM(G32:L32)</f>
        <v>0</v>
      </c>
      <c r="N32" s="380"/>
      <c r="O32" s="311"/>
      <c r="P32" s="314"/>
      <c r="Q32" s="1462"/>
      <c r="R32" s="1462"/>
      <c r="S32" s="1463"/>
      <c r="T32" s="105"/>
    </row>
    <row r="33" spans="1:20" ht="15" customHeight="1">
      <c r="A33" s="185"/>
      <c r="B33" s="283"/>
      <c r="C33" s="272"/>
      <c r="D33" s="272"/>
      <c r="E33" s="272"/>
      <c r="F33" s="272"/>
      <c r="G33" s="323"/>
      <c r="H33" s="323"/>
      <c r="I33" s="323"/>
      <c r="J33" s="323"/>
      <c r="K33" s="323"/>
      <c r="L33" s="323"/>
      <c r="M33" s="323"/>
      <c r="N33" s="381"/>
      <c r="O33" s="311"/>
      <c r="P33" s="315"/>
      <c r="Q33" s="1464"/>
      <c r="R33" s="1465"/>
      <c r="S33" s="1466"/>
      <c r="T33" s="97"/>
    </row>
    <row r="34" spans="1:20" ht="15" customHeight="1">
      <c r="A34" s="185"/>
      <c r="B34" s="373"/>
      <c r="C34" s="272"/>
      <c r="D34" s="272"/>
      <c r="E34" s="347" t="s">
        <v>272</v>
      </c>
      <c r="F34" s="272"/>
      <c r="G34" s="327">
        <f>SUM(G28+G32+G30)</f>
        <v>11271087.600000001</v>
      </c>
      <c r="H34" s="327">
        <f t="shared" ref="H34:M34" si="3">SUM(H28+H32+H30)</f>
        <v>0</v>
      </c>
      <c r="I34" s="327">
        <f t="shared" si="3"/>
        <v>8862688.9299999997</v>
      </c>
      <c r="J34" s="327">
        <f t="shared" si="3"/>
        <v>1075803.56</v>
      </c>
      <c r="K34" s="327">
        <f>SUM(K28+K32+K30)</f>
        <v>2701587.58</v>
      </c>
      <c r="L34" s="327">
        <f t="shared" si="3"/>
        <v>0</v>
      </c>
      <c r="M34" s="327">
        <f t="shared" si="3"/>
        <v>23911167.670000002</v>
      </c>
      <c r="N34" s="374"/>
      <c r="O34" s="316"/>
      <c r="P34" s="304"/>
      <c r="Q34" s="1453"/>
      <c r="R34" s="1453"/>
      <c r="S34" s="135"/>
      <c r="T34" s="132"/>
    </row>
    <row r="35" spans="1:20" ht="15" customHeight="1">
      <c r="A35" s="185"/>
      <c r="B35" s="373"/>
      <c r="C35" s="272"/>
      <c r="D35" s="272"/>
      <c r="E35" s="347"/>
      <c r="F35" s="272"/>
      <c r="G35" s="322"/>
      <c r="H35" s="322"/>
      <c r="I35" s="322"/>
      <c r="J35" s="322"/>
      <c r="K35" s="322"/>
      <c r="L35" s="322"/>
      <c r="M35" s="322"/>
      <c r="N35" s="382"/>
      <c r="O35" s="303"/>
      <c r="P35" s="311"/>
      <c r="Q35" s="1463"/>
      <c r="R35" s="1463"/>
      <c r="S35" s="1452"/>
      <c r="T35" s="103"/>
    </row>
    <row r="36" spans="1:20" ht="15" customHeight="1">
      <c r="A36" s="185"/>
      <c r="B36" s="373"/>
      <c r="C36" s="272"/>
      <c r="D36" s="272"/>
      <c r="E36" s="347" t="s">
        <v>273</v>
      </c>
      <c r="F36" s="272"/>
      <c r="G36" s="1482">
        <f>(649471.71+791972.43+685729.99+9116.86+1619689.28+418838.49+693880.58+820438.95+670833.79+928434.08+519553.84+364646.47)+(166120.78+205426.28+378275.28+245427.88+309804.93+255474.1+158967.07+556055.57+7018.11+240705.12+313733.72+262921.77)</f>
        <v>11272537.08</v>
      </c>
      <c r="H36" s="1482">
        <v>0</v>
      </c>
      <c r="I36" s="1482">
        <v>8820124.9699999988</v>
      </c>
      <c r="J36" s="1482">
        <f>(131726.68+111133.87+73409.45+59023.88+72027.77+87591.12+104468.36+112591.51+63778.08+65536.26+87087.63+97459.42)+(1932.8+717.25+702.75+401.71+1098.8+1287.21+2001.94+1127.3+401.71+401.71+1124.71+1193.17)</f>
        <v>1078225.0900000001</v>
      </c>
      <c r="K36" s="1482">
        <f>(22422.09+15067+16895.74+7+90644.27+92544.78+22961.27+13637.99+18263.05+16199.4+26261.96+73052.01)+(24396.67+30456.9+14267.99+58578.05+55525.82+32076.66+86534.57+11219.7+190.75+56941.68+43326.77)+(108012.73+108637.28+497857.95+85922.17-1336.25+168542.65+66910.35+73888.95+385560.76+103176.46+76981.32+73442.3)+(4349.35+4060.5+1896+1517.4+1498.5+2692.5+4545.51+6791.49+14.21+1503+1659.06+2678.03)+(3783+2727.5+46.5+934.5+2399.28+4647+4041.41+2412.43+934.5+2223.5+4650.48)+(1510.41+1640.5+1761.5+14525.17+1510.41+1614.59+3141.28+153+1614.59+14764.57+1614.59+1666.66)</f>
        <v>2676591.71</v>
      </c>
      <c r="L36" s="1825"/>
      <c r="M36" s="327">
        <f>SUM(G36:L36)</f>
        <v>23847478.849999998</v>
      </c>
      <c r="N36" s="380"/>
      <c r="O36" s="317"/>
      <c r="P36" s="318"/>
      <c r="Q36" s="1467"/>
      <c r="R36" s="1467"/>
      <c r="S36" s="1468"/>
      <c r="T36" s="102"/>
    </row>
    <row r="37" spans="1:20" ht="15" customHeight="1">
      <c r="A37" s="185"/>
      <c r="B37" s="373"/>
      <c r="C37" s="272"/>
      <c r="D37" s="272"/>
      <c r="E37" s="347"/>
      <c r="F37" s="272"/>
      <c r="G37" s="322"/>
      <c r="H37" s="322"/>
      <c r="I37" s="322"/>
      <c r="J37" s="322"/>
      <c r="K37" s="322"/>
      <c r="L37" s="322"/>
      <c r="M37" s="322"/>
      <c r="N37" s="382"/>
      <c r="O37" s="303"/>
      <c r="P37" s="311"/>
      <c r="Q37" s="1463"/>
      <c r="R37" s="1463"/>
      <c r="S37" s="1452"/>
      <c r="T37" s="103"/>
    </row>
    <row r="38" spans="1:20" ht="15" customHeight="1" thickBot="1">
      <c r="A38" s="185"/>
      <c r="B38" s="373"/>
      <c r="C38" s="272"/>
      <c r="D38" s="272"/>
      <c r="E38" s="347" t="s">
        <v>274</v>
      </c>
      <c r="F38" s="272"/>
      <c r="G38" s="328">
        <f t="shared" ref="G38:M38" si="4">SUM(G34-G36)</f>
        <v>-1449.4799999985844</v>
      </c>
      <c r="H38" s="328">
        <f t="shared" si="4"/>
        <v>0</v>
      </c>
      <c r="I38" s="328">
        <f t="shared" si="4"/>
        <v>42563.960000000894</v>
      </c>
      <c r="J38" s="328">
        <f t="shared" si="4"/>
        <v>-2421.5300000000279</v>
      </c>
      <c r="K38" s="328">
        <f t="shared" si="4"/>
        <v>24995.870000000112</v>
      </c>
      <c r="L38" s="328">
        <f t="shared" si="4"/>
        <v>0</v>
      </c>
      <c r="M38" s="328">
        <f t="shared" si="4"/>
        <v>63688.820000004023</v>
      </c>
      <c r="N38" s="374"/>
      <c r="O38" s="316"/>
      <c r="P38" s="304"/>
      <c r="Q38" s="1453"/>
      <c r="R38" s="1453"/>
      <c r="S38" s="135"/>
      <c r="T38" s="132"/>
    </row>
    <row r="39" spans="1:20" ht="15" customHeight="1" thickTop="1">
      <c r="A39" s="185"/>
      <c r="B39" s="373"/>
      <c r="C39" s="272"/>
      <c r="D39" s="272"/>
      <c r="E39" s="347"/>
      <c r="F39" s="272"/>
      <c r="G39" s="322"/>
      <c r="H39" s="322"/>
      <c r="I39" s="322"/>
      <c r="J39" s="322"/>
      <c r="K39" s="322"/>
      <c r="L39" s="322"/>
      <c r="M39" s="322"/>
      <c r="N39" s="382"/>
      <c r="O39" s="303"/>
      <c r="P39" s="311"/>
      <c r="Q39" s="1463"/>
      <c r="R39" s="1463"/>
      <c r="S39" s="1452"/>
      <c r="T39" s="94"/>
    </row>
    <row r="40" spans="1:20" ht="15" customHeight="1" thickBot="1">
      <c r="A40" s="185"/>
      <c r="B40" s="373"/>
      <c r="C40" s="272"/>
      <c r="D40" s="272"/>
      <c r="E40" s="347" t="s">
        <v>968</v>
      </c>
      <c r="F40" s="272"/>
      <c r="G40" s="329">
        <f t="shared" ref="G40:M40" si="5">IF(G34&lt;&gt;0,G38/G34,0)</f>
        <v>-1.2860160895196876E-4</v>
      </c>
      <c r="H40" s="329">
        <f t="shared" si="5"/>
        <v>0</v>
      </c>
      <c r="I40" s="329">
        <f t="shared" si="5"/>
        <v>4.8026011446619613E-3</v>
      </c>
      <c r="J40" s="329">
        <f t="shared" si="5"/>
        <v>-2.2509035013790323E-3</v>
      </c>
      <c r="K40" s="329">
        <f t="shared" si="5"/>
        <v>9.2522893520261568E-3</v>
      </c>
      <c r="L40" s="329">
        <f t="shared" si="5"/>
        <v>0</v>
      </c>
      <c r="M40" s="329">
        <f t="shared" si="5"/>
        <v>2.6635595918601167E-3</v>
      </c>
      <c r="N40" s="383"/>
      <c r="O40" s="316"/>
      <c r="P40" s="319"/>
      <c r="Q40" s="1469"/>
      <c r="R40" s="1469"/>
      <c r="S40" s="135"/>
      <c r="T40" s="172"/>
    </row>
    <row r="41" spans="1:20" ht="13.5" thickTop="1">
      <c r="A41" s="185"/>
      <c r="B41" s="283"/>
      <c r="C41" s="272"/>
      <c r="D41" s="272"/>
      <c r="E41" s="272"/>
      <c r="F41" s="272"/>
      <c r="G41" s="272"/>
      <c r="H41" s="322"/>
      <c r="I41" s="322"/>
      <c r="J41" s="322"/>
      <c r="K41" s="272"/>
      <c r="L41" s="322"/>
      <c r="M41" s="272"/>
      <c r="N41" s="382"/>
      <c r="O41" s="185"/>
      <c r="P41" s="320"/>
      <c r="Q41" s="1470"/>
      <c r="R41" s="1470"/>
      <c r="T41" s="104"/>
    </row>
    <row r="42" spans="1:20">
      <c r="A42" s="185"/>
      <c r="B42" s="283"/>
      <c r="C42" s="272"/>
      <c r="D42" s="347"/>
      <c r="E42" s="272"/>
      <c r="F42" s="272"/>
      <c r="G42" s="272"/>
      <c r="H42" s="272"/>
      <c r="I42" s="272"/>
      <c r="J42" s="272"/>
      <c r="K42" s="272"/>
      <c r="L42" s="272"/>
      <c r="M42" s="272"/>
      <c r="N42" s="371"/>
      <c r="O42" s="185"/>
      <c r="P42" s="185"/>
    </row>
    <row r="43" spans="1:20">
      <c r="A43" s="185"/>
      <c r="B43" s="283"/>
      <c r="C43" s="272"/>
      <c r="D43" s="347" t="s">
        <v>275</v>
      </c>
      <c r="E43" s="272" t="s">
        <v>276</v>
      </c>
      <c r="F43" s="272"/>
      <c r="G43" s="272"/>
      <c r="H43" s="272"/>
      <c r="I43" s="272"/>
      <c r="J43" s="272"/>
      <c r="K43" s="272"/>
      <c r="L43" s="272"/>
      <c r="M43" s="272"/>
      <c r="N43" s="371"/>
      <c r="O43" s="185"/>
      <c r="P43" s="185"/>
    </row>
    <row r="44" spans="1:20">
      <c r="A44" s="185"/>
      <c r="B44" s="283"/>
      <c r="C44" s="272"/>
      <c r="D44" s="272"/>
      <c r="E44" s="272"/>
      <c r="F44" s="272"/>
      <c r="G44" s="272"/>
      <c r="H44" s="272"/>
      <c r="I44" s="272"/>
      <c r="J44" s="272"/>
      <c r="K44" s="272"/>
      <c r="L44" s="272"/>
      <c r="M44" s="272"/>
      <c r="N44" s="371"/>
      <c r="O44" s="185"/>
      <c r="P44" s="185"/>
    </row>
    <row r="45" spans="1:20">
      <c r="A45" s="185"/>
      <c r="B45" s="283"/>
      <c r="C45" s="272"/>
      <c r="D45" s="347" t="s">
        <v>277</v>
      </c>
      <c r="E45" s="272" t="s">
        <v>278</v>
      </c>
      <c r="F45" s="272"/>
      <c r="G45" s="272"/>
      <c r="H45" s="272"/>
      <c r="I45" s="272"/>
      <c r="J45" s="272"/>
      <c r="K45" s="272"/>
      <c r="L45" s="272"/>
      <c r="M45" s="272"/>
      <c r="N45" s="371"/>
      <c r="O45" s="185"/>
      <c r="P45" s="185"/>
    </row>
    <row r="46" spans="1:20" ht="48" customHeight="1">
      <c r="A46" s="185"/>
      <c r="B46" s="373"/>
      <c r="C46" s="344"/>
      <c r="D46" s="344"/>
      <c r="E46" s="344"/>
      <c r="F46" s="344"/>
      <c r="G46" s="344"/>
      <c r="H46" s="344"/>
      <c r="I46" s="344"/>
      <c r="J46" s="344"/>
      <c r="K46" s="344"/>
      <c r="L46" s="344"/>
      <c r="M46" s="344"/>
      <c r="N46" s="370"/>
      <c r="O46" s="185"/>
      <c r="P46" s="185"/>
    </row>
    <row r="47" spans="1:20" ht="13.5" thickBot="1">
      <c r="A47" s="185"/>
      <c r="B47" s="384"/>
      <c r="C47" s="385"/>
      <c r="D47" s="385"/>
      <c r="E47" s="385"/>
      <c r="F47" s="385"/>
      <c r="G47" s="385"/>
      <c r="H47" s="385"/>
      <c r="I47" s="385"/>
      <c r="J47" s="385"/>
      <c r="K47" s="385"/>
      <c r="L47" s="385"/>
      <c r="M47" s="385"/>
      <c r="N47" s="386"/>
      <c r="O47" s="185"/>
      <c r="P47" s="185"/>
    </row>
    <row r="48" spans="1:20" ht="13.5" thickTop="1">
      <c r="A48" s="185"/>
      <c r="B48" s="185"/>
      <c r="C48" s="185"/>
      <c r="D48" s="185"/>
      <c r="E48" s="185"/>
      <c r="F48" s="185"/>
      <c r="G48" s="185"/>
      <c r="H48" s="185"/>
      <c r="I48" s="185"/>
      <c r="J48" s="185"/>
      <c r="K48" s="185"/>
      <c r="L48" s="185"/>
      <c r="M48" s="185"/>
      <c r="N48" s="185"/>
      <c r="O48" s="185"/>
      <c r="P48" s="185"/>
    </row>
    <row r="49" spans="1:16">
      <c r="A49" s="185"/>
      <c r="B49" s="185"/>
      <c r="C49" s="185"/>
      <c r="D49" s="185"/>
      <c r="E49" s="185"/>
      <c r="F49" s="185"/>
      <c r="G49" s="185"/>
      <c r="H49" s="185"/>
      <c r="I49" s="185"/>
      <c r="J49" s="185"/>
      <c r="K49" s="185"/>
      <c r="L49" s="185"/>
      <c r="M49" s="185"/>
      <c r="N49" s="185"/>
      <c r="O49" s="185"/>
      <c r="P49" s="185"/>
    </row>
    <row r="50" spans="1:16">
      <c r="A50" s="185"/>
      <c r="B50" s="185"/>
      <c r="C50" s="185"/>
      <c r="D50" s="185"/>
      <c r="E50" s="185"/>
      <c r="F50" s="185"/>
      <c r="G50" s="185"/>
      <c r="H50" s="185"/>
      <c r="I50" s="185"/>
      <c r="J50" s="185"/>
      <c r="K50" s="185"/>
      <c r="L50" s="185"/>
      <c r="M50" s="185"/>
      <c r="N50" s="185"/>
      <c r="O50" s="185"/>
      <c r="P50" s="185"/>
    </row>
    <row r="51" spans="1:16">
      <c r="A51" s="185"/>
      <c r="B51" s="185"/>
      <c r="C51" s="185"/>
      <c r="D51" s="185"/>
      <c r="E51" s="185"/>
      <c r="F51" s="185"/>
      <c r="G51" s="185"/>
      <c r="H51" s="185"/>
      <c r="I51" s="185"/>
      <c r="J51" s="185"/>
      <c r="K51" s="185"/>
      <c r="L51" s="185"/>
      <c r="M51" s="185"/>
      <c r="N51" s="185"/>
      <c r="O51" s="185"/>
      <c r="P51" s="185"/>
    </row>
    <row r="52" spans="1:16">
      <c r="A52" s="185"/>
      <c r="B52" s="185"/>
      <c r="C52" s="185"/>
      <c r="D52" s="185"/>
      <c r="E52" s="185"/>
      <c r="F52" s="185"/>
      <c r="G52" s="185"/>
      <c r="H52" s="185"/>
      <c r="I52" s="185"/>
      <c r="J52" s="185"/>
      <c r="K52" s="185"/>
      <c r="L52" s="185"/>
      <c r="M52" s="185"/>
      <c r="N52" s="185"/>
      <c r="O52" s="185"/>
      <c r="P52" s="185"/>
    </row>
    <row r="53" spans="1:16">
      <c r="A53" s="185"/>
      <c r="B53" s="185"/>
      <c r="C53" s="185"/>
      <c r="D53" s="185"/>
      <c r="E53" s="185"/>
      <c r="F53" s="185"/>
      <c r="G53" s="185"/>
      <c r="H53" s="185"/>
      <c r="I53" s="185"/>
      <c r="J53" s="185"/>
      <c r="K53" s="185"/>
      <c r="L53" s="185"/>
      <c r="M53" s="185"/>
      <c r="N53" s="185"/>
      <c r="O53" s="185"/>
      <c r="P53" s="185"/>
    </row>
    <row r="54" spans="1:16">
      <c r="A54" s="185"/>
      <c r="B54" s="185"/>
      <c r="C54" s="185"/>
      <c r="D54" s="185"/>
      <c r="E54" s="185"/>
      <c r="F54" s="185"/>
      <c r="G54" s="185"/>
      <c r="H54" s="185"/>
      <c r="I54" s="185"/>
      <c r="J54" s="185"/>
      <c r="K54" s="185"/>
      <c r="L54" s="185"/>
      <c r="M54" s="185"/>
      <c r="N54" s="185"/>
      <c r="O54" s="185"/>
      <c r="P54" s="185"/>
    </row>
    <row r="55" spans="1:16">
      <c r="A55" s="185"/>
      <c r="B55" s="185"/>
      <c r="C55" s="185"/>
      <c r="D55" s="185"/>
      <c r="E55" s="185"/>
      <c r="F55" s="185"/>
      <c r="G55" s="185"/>
      <c r="H55" s="185"/>
      <c r="I55" s="185"/>
      <c r="J55" s="185"/>
      <c r="K55" s="185"/>
      <c r="L55" s="185"/>
      <c r="M55" s="185"/>
      <c r="N55" s="185"/>
      <c r="O55" s="185"/>
      <c r="P55" s="185"/>
    </row>
    <row r="56" spans="1:16">
      <c r="A56" s="185"/>
      <c r="B56" s="185"/>
      <c r="C56" s="185"/>
      <c r="D56" s="185"/>
      <c r="E56" s="185"/>
      <c r="F56" s="185"/>
      <c r="G56" s="185"/>
      <c r="H56" s="185"/>
      <c r="I56" s="185"/>
      <c r="J56" s="185"/>
      <c r="K56" s="185"/>
      <c r="L56" s="185"/>
      <c r="M56" s="185"/>
      <c r="N56" s="185"/>
      <c r="O56" s="185"/>
      <c r="P56" s="185"/>
    </row>
    <row r="57" spans="1:16">
      <c r="A57" s="185"/>
      <c r="B57" s="185"/>
      <c r="C57" s="185"/>
      <c r="D57" s="185"/>
      <c r="E57" s="185"/>
      <c r="F57" s="185"/>
      <c r="G57" s="185"/>
      <c r="H57" s="185"/>
      <c r="I57" s="185"/>
      <c r="J57" s="185"/>
      <c r="K57" s="185"/>
      <c r="L57" s="185"/>
      <c r="M57" s="185"/>
      <c r="N57" s="185"/>
      <c r="O57" s="185"/>
      <c r="P57" s="185"/>
    </row>
    <row r="58" spans="1:16">
      <c r="A58" s="185"/>
      <c r="B58" s="185"/>
      <c r="C58" s="185"/>
      <c r="D58" s="185"/>
      <c r="E58" s="185"/>
      <c r="F58" s="185"/>
      <c r="G58" s="185"/>
      <c r="H58" s="185"/>
      <c r="I58" s="185"/>
      <c r="J58" s="185"/>
      <c r="K58" s="185"/>
      <c r="L58" s="185"/>
      <c r="M58" s="185"/>
      <c r="N58" s="185"/>
      <c r="O58" s="185"/>
      <c r="P58" s="185"/>
    </row>
    <row r="59" spans="1:16">
      <c r="A59" s="185"/>
      <c r="B59" s="185"/>
      <c r="C59" s="185"/>
      <c r="D59" s="185"/>
      <c r="E59" s="185"/>
      <c r="F59" s="185"/>
      <c r="G59" s="185"/>
      <c r="H59" s="185"/>
      <c r="I59" s="185"/>
      <c r="J59" s="185"/>
      <c r="K59" s="185"/>
      <c r="L59" s="185"/>
      <c r="M59" s="185"/>
      <c r="N59" s="185"/>
      <c r="O59" s="185"/>
      <c r="P59" s="185"/>
    </row>
    <row r="60" spans="1:16">
      <c r="A60" s="185"/>
      <c r="B60" s="185"/>
      <c r="C60" s="185"/>
      <c r="D60" s="185"/>
      <c r="E60" s="185"/>
      <c r="F60" s="185"/>
      <c r="G60" s="185"/>
      <c r="H60" s="185"/>
      <c r="I60" s="185"/>
      <c r="J60" s="185"/>
      <c r="K60" s="185"/>
      <c r="L60" s="185"/>
      <c r="M60" s="185"/>
      <c r="N60" s="185"/>
      <c r="O60" s="185"/>
      <c r="P60" s="185"/>
    </row>
    <row r="61" spans="1:16">
      <c r="A61" s="185"/>
      <c r="B61" s="185"/>
      <c r="C61" s="185"/>
      <c r="D61" s="185"/>
      <c r="E61" s="185"/>
      <c r="F61" s="185"/>
      <c r="G61" s="185"/>
      <c r="H61" s="185"/>
      <c r="I61" s="185"/>
      <c r="J61" s="185"/>
      <c r="K61" s="185"/>
      <c r="L61" s="185"/>
      <c r="M61" s="185"/>
      <c r="N61" s="185"/>
      <c r="O61" s="185"/>
      <c r="P61" s="185"/>
    </row>
    <row r="62" spans="1:16">
      <c r="A62" s="185"/>
      <c r="B62" s="185"/>
      <c r="C62" s="185"/>
      <c r="D62" s="185"/>
      <c r="E62" s="185"/>
      <c r="F62" s="185"/>
      <c r="G62" s="185"/>
      <c r="H62" s="185"/>
      <c r="I62" s="185"/>
      <c r="J62" s="185"/>
      <c r="K62" s="185"/>
      <c r="L62" s="185"/>
      <c r="M62" s="185"/>
      <c r="N62" s="185"/>
      <c r="O62" s="185"/>
      <c r="P62" s="185"/>
    </row>
    <row r="63" spans="1:16">
      <c r="A63" s="185"/>
      <c r="B63" s="185"/>
      <c r="C63" s="185"/>
      <c r="D63" s="185"/>
      <c r="E63" s="185"/>
      <c r="F63" s="185"/>
      <c r="G63" s="185"/>
      <c r="H63" s="185"/>
      <c r="I63" s="185"/>
      <c r="J63" s="185"/>
      <c r="K63" s="185"/>
      <c r="L63" s="185"/>
      <c r="M63" s="185"/>
      <c r="N63" s="185"/>
      <c r="O63" s="185"/>
      <c r="P63" s="185"/>
    </row>
    <row r="64" spans="1:16">
      <c r="A64" s="185"/>
      <c r="B64" s="185"/>
      <c r="C64" s="185"/>
      <c r="D64" s="185"/>
      <c r="E64" s="185"/>
      <c r="F64" s="185"/>
      <c r="G64" s="185"/>
      <c r="H64" s="185"/>
      <c r="I64" s="185"/>
      <c r="J64" s="185"/>
      <c r="K64" s="185"/>
      <c r="L64" s="185"/>
      <c r="M64" s="185"/>
      <c r="N64" s="185"/>
      <c r="O64" s="185"/>
      <c r="P64" s="185"/>
    </row>
    <row r="65" spans="1:16">
      <c r="A65" s="185"/>
      <c r="B65" s="185"/>
      <c r="C65" s="185"/>
      <c r="D65" s="185"/>
      <c r="E65" s="185"/>
      <c r="F65" s="185"/>
      <c r="G65" s="185"/>
      <c r="H65" s="185"/>
      <c r="I65" s="185"/>
      <c r="J65" s="185"/>
      <c r="K65" s="185"/>
      <c r="L65" s="185"/>
      <c r="M65" s="185"/>
      <c r="N65" s="185"/>
      <c r="O65" s="185"/>
      <c r="P65" s="185"/>
    </row>
    <row r="66" spans="1:16">
      <c r="A66" s="185"/>
      <c r="B66" s="185"/>
      <c r="C66" s="185"/>
      <c r="D66" s="185"/>
      <c r="E66" s="185"/>
      <c r="F66" s="185"/>
      <c r="G66" s="185"/>
      <c r="H66" s="185"/>
      <c r="I66" s="185"/>
      <c r="J66" s="185"/>
      <c r="K66" s="185"/>
      <c r="L66" s="185"/>
      <c r="M66" s="185"/>
      <c r="N66" s="185"/>
      <c r="O66" s="185"/>
      <c r="P66" s="185"/>
    </row>
    <row r="67" spans="1:16">
      <c r="A67" s="185"/>
      <c r="B67" s="185"/>
      <c r="C67" s="185"/>
      <c r="D67" s="185"/>
      <c r="E67" s="185"/>
      <c r="F67" s="185"/>
      <c r="G67" s="185"/>
      <c r="H67" s="185"/>
      <c r="I67" s="185"/>
      <c r="J67" s="185"/>
      <c r="K67" s="185"/>
      <c r="L67" s="185"/>
      <c r="M67" s="185"/>
      <c r="N67" s="185"/>
      <c r="O67" s="185"/>
      <c r="P67" s="185"/>
    </row>
    <row r="68" spans="1:16">
      <c r="A68" s="185"/>
      <c r="B68" s="185"/>
      <c r="C68" s="185"/>
      <c r="D68" s="185"/>
      <c r="E68" s="185"/>
      <c r="F68" s="185"/>
      <c r="G68" s="185"/>
      <c r="H68" s="185"/>
      <c r="I68" s="185"/>
      <c r="J68" s="185"/>
      <c r="K68" s="185"/>
      <c r="L68" s="185"/>
      <c r="M68" s="185"/>
      <c r="N68" s="185"/>
      <c r="O68" s="185"/>
      <c r="P68" s="185"/>
    </row>
    <row r="69" spans="1:16">
      <c r="A69" s="185"/>
      <c r="B69" s="185"/>
      <c r="C69" s="185"/>
      <c r="D69" s="185"/>
      <c r="E69" s="185"/>
      <c r="F69" s="185"/>
      <c r="G69" s="185"/>
      <c r="H69" s="185"/>
      <c r="I69" s="185"/>
      <c r="J69" s="185"/>
      <c r="K69" s="185"/>
      <c r="L69" s="185"/>
      <c r="M69" s="185"/>
      <c r="N69" s="185"/>
      <c r="O69" s="185"/>
      <c r="P69" s="185"/>
    </row>
    <row r="70" spans="1:16">
      <c r="A70" s="185"/>
      <c r="B70" s="185"/>
      <c r="C70" s="185"/>
      <c r="D70" s="185"/>
      <c r="E70" s="185"/>
      <c r="F70" s="185"/>
      <c r="G70" s="185"/>
      <c r="H70" s="185"/>
      <c r="I70" s="185"/>
      <c r="J70" s="185"/>
      <c r="K70" s="185"/>
      <c r="L70" s="185"/>
      <c r="M70" s="185"/>
      <c r="N70" s="185"/>
      <c r="O70" s="185"/>
      <c r="P70" s="185"/>
    </row>
    <row r="71" spans="1:16">
      <c r="A71" s="185"/>
      <c r="B71" s="185"/>
      <c r="C71" s="185"/>
      <c r="D71" s="185"/>
      <c r="E71" s="185"/>
      <c r="F71" s="185"/>
      <c r="G71" s="185"/>
      <c r="H71" s="185"/>
      <c r="I71" s="185"/>
      <c r="J71" s="185"/>
      <c r="K71" s="185"/>
      <c r="L71" s="185"/>
      <c r="M71" s="185"/>
      <c r="N71" s="185"/>
      <c r="O71" s="185"/>
      <c r="P71" s="185"/>
    </row>
    <row r="72" spans="1:16">
      <c r="A72" s="185"/>
      <c r="B72" s="185"/>
      <c r="C72" s="185"/>
      <c r="D72" s="185"/>
      <c r="E72" s="185"/>
      <c r="F72" s="185"/>
      <c r="G72" s="185"/>
      <c r="H72" s="185"/>
      <c r="I72" s="185"/>
      <c r="J72" s="185"/>
      <c r="K72" s="185"/>
      <c r="L72" s="185"/>
      <c r="M72" s="185"/>
      <c r="N72" s="185"/>
      <c r="O72" s="185"/>
      <c r="P72" s="185"/>
    </row>
    <row r="73" spans="1:16">
      <c r="A73" s="185"/>
      <c r="B73" s="185"/>
      <c r="C73" s="185"/>
      <c r="D73" s="185"/>
      <c r="E73" s="185"/>
      <c r="F73" s="185"/>
      <c r="G73" s="185"/>
      <c r="H73" s="185"/>
      <c r="I73" s="185"/>
      <c r="J73" s="185"/>
      <c r="K73" s="185"/>
      <c r="L73" s="185"/>
      <c r="M73" s="185"/>
      <c r="N73" s="185"/>
      <c r="O73" s="185"/>
      <c r="P73" s="185"/>
    </row>
    <row r="74" spans="1:16">
      <c r="A74" s="185"/>
      <c r="B74" s="185"/>
      <c r="C74" s="185"/>
      <c r="D74" s="185"/>
      <c r="E74" s="185"/>
      <c r="F74" s="185"/>
      <c r="G74" s="185"/>
      <c r="H74" s="185"/>
      <c r="I74" s="185"/>
      <c r="J74" s="185"/>
      <c r="K74" s="185"/>
      <c r="L74" s="185"/>
      <c r="M74" s="185"/>
      <c r="N74" s="185"/>
      <c r="O74" s="185"/>
      <c r="P74" s="185"/>
    </row>
    <row r="75" spans="1:16">
      <c r="A75" s="185"/>
      <c r="B75" s="185"/>
      <c r="C75" s="185"/>
      <c r="D75" s="185"/>
      <c r="E75" s="185"/>
      <c r="F75" s="185"/>
      <c r="G75" s="185"/>
      <c r="H75" s="185"/>
      <c r="I75" s="185"/>
      <c r="J75" s="185"/>
      <c r="K75" s="185"/>
      <c r="L75" s="185"/>
      <c r="M75" s="185"/>
      <c r="N75" s="185"/>
      <c r="O75" s="185"/>
      <c r="P75" s="185"/>
    </row>
    <row r="76" spans="1:16">
      <c r="A76" s="185"/>
      <c r="B76" s="185"/>
      <c r="C76" s="185"/>
      <c r="D76" s="185"/>
      <c r="E76" s="185"/>
      <c r="F76" s="185"/>
      <c r="G76" s="185"/>
      <c r="H76" s="185"/>
      <c r="I76" s="185"/>
      <c r="J76" s="185"/>
      <c r="K76" s="185"/>
      <c r="L76" s="185"/>
      <c r="M76" s="185"/>
      <c r="N76" s="185"/>
      <c r="O76" s="185"/>
      <c r="P76" s="185"/>
    </row>
    <row r="77" spans="1:16">
      <c r="A77" s="185"/>
      <c r="B77" s="185"/>
      <c r="C77" s="185"/>
      <c r="D77" s="185"/>
      <c r="E77" s="185"/>
      <c r="F77" s="185"/>
      <c r="G77" s="185"/>
      <c r="H77" s="185"/>
      <c r="I77" s="185"/>
      <c r="J77" s="185"/>
      <c r="K77" s="185"/>
      <c r="L77" s="185"/>
      <c r="M77" s="185"/>
      <c r="N77" s="185"/>
      <c r="O77" s="185"/>
      <c r="P77" s="185"/>
    </row>
    <row r="78" spans="1:16">
      <c r="A78" s="185"/>
      <c r="B78" s="185"/>
      <c r="C78" s="185"/>
      <c r="D78" s="185"/>
      <c r="E78" s="185"/>
      <c r="F78" s="185"/>
      <c r="G78" s="185"/>
      <c r="H78" s="185"/>
      <c r="I78" s="185"/>
      <c r="J78" s="185"/>
      <c r="K78" s="185"/>
      <c r="L78" s="185"/>
      <c r="M78" s="185"/>
      <c r="N78" s="185"/>
      <c r="O78" s="185"/>
      <c r="P78" s="185"/>
    </row>
    <row r="79" spans="1:16">
      <c r="A79" s="185"/>
      <c r="B79" s="185"/>
      <c r="C79" s="185"/>
      <c r="D79" s="185"/>
      <c r="E79" s="185"/>
      <c r="F79" s="185"/>
      <c r="G79" s="185"/>
      <c r="H79" s="185"/>
      <c r="I79" s="185"/>
      <c r="J79" s="185"/>
      <c r="K79" s="185"/>
      <c r="L79" s="185"/>
      <c r="M79" s="185"/>
      <c r="N79" s="185"/>
      <c r="O79" s="185"/>
      <c r="P79" s="185"/>
    </row>
    <row r="80" spans="1:16">
      <c r="A80" s="185"/>
      <c r="B80" s="185"/>
      <c r="C80" s="185"/>
      <c r="D80" s="185"/>
      <c r="E80" s="185"/>
      <c r="F80" s="185"/>
      <c r="G80" s="185"/>
      <c r="H80" s="185"/>
      <c r="I80" s="185"/>
      <c r="J80" s="185"/>
      <c r="K80" s="185"/>
      <c r="L80" s="185"/>
      <c r="M80" s="185"/>
      <c r="N80" s="185"/>
      <c r="O80" s="185"/>
      <c r="P80" s="185"/>
    </row>
    <row r="81" spans="1:16">
      <c r="A81" s="185"/>
      <c r="B81" s="185"/>
      <c r="C81" s="185"/>
      <c r="D81" s="185"/>
      <c r="E81" s="185"/>
      <c r="F81" s="185"/>
      <c r="G81" s="185"/>
      <c r="H81" s="185"/>
      <c r="I81" s="185"/>
      <c r="J81" s="185"/>
      <c r="K81" s="185"/>
      <c r="L81" s="185"/>
      <c r="M81" s="185"/>
      <c r="N81" s="185"/>
      <c r="O81" s="185"/>
      <c r="P81" s="185"/>
    </row>
    <row r="82" spans="1:16">
      <c r="A82" s="185"/>
      <c r="B82" s="185"/>
      <c r="C82" s="185"/>
      <c r="D82" s="185"/>
      <c r="E82" s="185"/>
      <c r="F82" s="185"/>
      <c r="G82" s="185"/>
      <c r="H82" s="185"/>
      <c r="I82" s="185"/>
      <c r="J82" s="185"/>
      <c r="K82" s="185"/>
      <c r="L82" s="185"/>
      <c r="M82" s="185"/>
      <c r="N82" s="185"/>
      <c r="O82" s="185"/>
      <c r="P82" s="185"/>
    </row>
    <row r="83" spans="1:16">
      <c r="A83" s="185"/>
      <c r="B83" s="185"/>
      <c r="C83" s="185"/>
      <c r="D83" s="185"/>
      <c r="E83" s="185"/>
      <c r="F83" s="185"/>
      <c r="G83" s="185"/>
      <c r="H83" s="185"/>
      <c r="I83" s="185"/>
      <c r="J83" s="185"/>
      <c r="K83" s="185"/>
      <c r="L83" s="185"/>
      <c r="M83" s="185"/>
      <c r="N83" s="185"/>
      <c r="O83" s="185"/>
      <c r="P83" s="185"/>
    </row>
    <row r="84" spans="1:16">
      <c r="A84" s="185"/>
      <c r="B84" s="185"/>
      <c r="C84" s="185"/>
      <c r="D84" s="185"/>
      <c r="E84" s="185"/>
      <c r="F84" s="185"/>
      <c r="G84" s="185"/>
      <c r="H84" s="185"/>
      <c r="I84" s="185"/>
      <c r="J84" s="185"/>
      <c r="K84" s="185"/>
      <c r="L84" s="185"/>
      <c r="M84" s="185"/>
      <c r="N84" s="185"/>
      <c r="O84" s="185"/>
      <c r="P84" s="185"/>
    </row>
    <row r="85" spans="1:16">
      <c r="A85" s="185"/>
      <c r="B85" s="185"/>
      <c r="C85" s="185"/>
      <c r="D85" s="185"/>
      <c r="E85" s="185"/>
      <c r="F85" s="185"/>
      <c r="G85" s="185"/>
      <c r="H85" s="185"/>
      <c r="I85" s="185"/>
      <c r="J85" s="185"/>
      <c r="K85" s="185"/>
      <c r="L85" s="185"/>
      <c r="M85" s="185"/>
      <c r="N85" s="185"/>
      <c r="O85" s="185"/>
      <c r="P85" s="185"/>
    </row>
    <row r="86" spans="1:16">
      <c r="A86" s="185"/>
      <c r="B86" s="185"/>
      <c r="C86" s="185"/>
      <c r="D86" s="185"/>
      <c r="E86" s="185"/>
      <c r="F86" s="185"/>
      <c r="G86" s="185"/>
      <c r="H86" s="185"/>
      <c r="I86" s="185"/>
      <c r="J86" s="185"/>
      <c r="K86" s="185"/>
      <c r="L86" s="185"/>
      <c r="M86" s="185"/>
      <c r="N86" s="185"/>
      <c r="O86" s="185"/>
      <c r="P86" s="185"/>
    </row>
    <row r="87" spans="1:16">
      <c r="A87" s="185"/>
      <c r="B87" s="185"/>
      <c r="C87" s="185"/>
      <c r="D87" s="185"/>
      <c r="E87" s="185"/>
      <c r="F87" s="185"/>
      <c r="G87" s="185"/>
      <c r="H87" s="185"/>
      <c r="I87" s="185"/>
      <c r="J87" s="185"/>
      <c r="K87" s="185"/>
      <c r="L87" s="185"/>
      <c r="M87" s="185"/>
      <c r="N87" s="185"/>
      <c r="O87" s="185"/>
      <c r="P87" s="185"/>
    </row>
    <row r="88" spans="1:16">
      <c r="A88" s="185"/>
      <c r="B88" s="185"/>
      <c r="C88" s="185"/>
      <c r="D88" s="185"/>
      <c r="E88" s="185"/>
      <c r="F88" s="185"/>
      <c r="G88" s="185"/>
      <c r="H88" s="185"/>
      <c r="I88" s="185"/>
      <c r="J88" s="185"/>
      <c r="K88" s="185"/>
      <c r="L88" s="185"/>
      <c r="M88" s="185"/>
      <c r="N88" s="185"/>
      <c r="O88" s="185"/>
      <c r="P88" s="185"/>
    </row>
    <row r="89" spans="1:16">
      <c r="A89" s="185"/>
      <c r="B89" s="185"/>
      <c r="C89" s="185"/>
      <c r="D89" s="185"/>
      <c r="E89" s="185"/>
      <c r="F89" s="185"/>
      <c r="G89" s="185"/>
      <c r="H89" s="185"/>
      <c r="I89" s="185"/>
      <c r="J89" s="185"/>
      <c r="K89" s="185"/>
      <c r="L89" s="185"/>
      <c r="M89" s="185"/>
      <c r="N89" s="185"/>
      <c r="O89" s="185"/>
      <c r="P89" s="185"/>
    </row>
    <row r="90" spans="1:16">
      <c r="A90" s="185"/>
      <c r="B90" s="185"/>
      <c r="C90" s="185"/>
      <c r="D90" s="185"/>
      <c r="E90" s="185"/>
      <c r="F90" s="185"/>
      <c r="G90" s="185"/>
      <c r="H90" s="185"/>
      <c r="I90" s="185"/>
      <c r="J90" s="185"/>
      <c r="K90" s="185"/>
      <c r="L90" s="185"/>
      <c r="M90" s="185"/>
      <c r="N90" s="185"/>
      <c r="O90" s="185"/>
      <c r="P90" s="185"/>
    </row>
    <row r="91" spans="1:16">
      <c r="A91" s="185"/>
      <c r="B91" s="185"/>
      <c r="C91" s="185"/>
      <c r="D91" s="185"/>
      <c r="E91" s="185"/>
      <c r="F91" s="185"/>
      <c r="G91" s="185"/>
      <c r="H91" s="185"/>
      <c r="I91" s="185"/>
      <c r="J91" s="185"/>
      <c r="K91" s="185"/>
      <c r="L91" s="185"/>
      <c r="M91" s="185"/>
      <c r="N91" s="185"/>
      <c r="O91" s="185"/>
      <c r="P91" s="185"/>
    </row>
    <row r="92" spans="1:16">
      <c r="A92" s="185"/>
      <c r="B92" s="185"/>
      <c r="C92" s="185"/>
      <c r="D92" s="185"/>
      <c r="E92" s="185"/>
      <c r="F92" s="185"/>
      <c r="G92" s="185"/>
      <c r="H92" s="185"/>
      <c r="I92" s="185"/>
      <c r="J92" s="185"/>
      <c r="K92" s="185"/>
      <c r="L92" s="185"/>
      <c r="M92" s="185"/>
      <c r="N92" s="185"/>
      <c r="O92" s="185"/>
      <c r="P92" s="185"/>
    </row>
    <row r="93" spans="1:16">
      <c r="A93" s="185"/>
      <c r="B93" s="185"/>
      <c r="C93" s="185"/>
      <c r="D93" s="185"/>
      <c r="E93" s="185"/>
      <c r="F93" s="185"/>
      <c r="G93" s="185"/>
      <c r="H93" s="185"/>
      <c r="I93" s="185"/>
      <c r="J93" s="185"/>
      <c r="K93" s="185"/>
      <c r="L93" s="185"/>
      <c r="M93" s="185"/>
      <c r="N93" s="185"/>
      <c r="O93" s="185"/>
      <c r="P93" s="185"/>
    </row>
    <row r="94" spans="1:16">
      <c r="A94" s="185"/>
      <c r="B94" s="185"/>
      <c r="C94" s="185"/>
      <c r="D94" s="185"/>
      <c r="E94" s="185"/>
      <c r="F94" s="185"/>
      <c r="G94" s="185"/>
      <c r="H94" s="185"/>
      <c r="I94" s="185"/>
      <c r="J94" s="185"/>
      <c r="K94" s="185"/>
      <c r="L94" s="185"/>
      <c r="M94" s="185"/>
      <c r="N94" s="185"/>
      <c r="O94" s="185"/>
      <c r="P94" s="185"/>
    </row>
    <row r="95" spans="1:16">
      <c r="A95" s="185"/>
      <c r="B95" s="185"/>
      <c r="C95" s="185"/>
      <c r="D95" s="185"/>
      <c r="E95" s="185"/>
      <c r="F95" s="185"/>
      <c r="G95" s="185"/>
      <c r="H95" s="185"/>
      <c r="I95" s="185"/>
      <c r="J95" s="185"/>
      <c r="K95" s="185"/>
      <c r="L95" s="185"/>
      <c r="M95" s="185"/>
      <c r="N95" s="185"/>
      <c r="O95" s="185"/>
      <c r="P95" s="185"/>
    </row>
    <row r="96" spans="1:16">
      <c r="A96" s="185"/>
      <c r="B96" s="185"/>
      <c r="C96" s="185"/>
      <c r="D96" s="185"/>
      <c r="E96" s="185"/>
      <c r="F96" s="185"/>
      <c r="G96" s="185"/>
      <c r="H96" s="185"/>
      <c r="I96" s="185"/>
      <c r="J96" s="185"/>
      <c r="K96" s="185"/>
      <c r="L96" s="185"/>
      <c r="M96" s="185"/>
      <c r="N96" s="185"/>
      <c r="O96" s="185"/>
      <c r="P96" s="185"/>
    </row>
    <row r="97" spans="1:16">
      <c r="A97" s="185"/>
      <c r="B97" s="185"/>
      <c r="C97" s="185"/>
      <c r="D97" s="185"/>
      <c r="E97" s="185"/>
      <c r="F97" s="185"/>
      <c r="G97" s="185"/>
      <c r="H97" s="185"/>
      <c r="I97" s="185"/>
      <c r="J97" s="185"/>
      <c r="K97" s="185"/>
      <c r="L97" s="185"/>
      <c r="M97" s="185"/>
      <c r="N97" s="185"/>
      <c r="O97" s="185"/>
      <c r="P97" s="185"/>
    </row>
    <row r="98" spans="1:16">
      <c r="A98" s="185"/>
      <c r="B98" s="185"/>
      <c r="C98" s="185"/>
      <c r="D98" s="185"/>
      <c r="E98" s="185"/>
      <c r="F98" s="185"/>
      <c r="G98" s="185"/>
      <c r="H98" s="185"/>
      <c r="I98" s="185"/>
      <c r="J98" s="185"/>
      <c r="K98" s="185"/>
      <c r="L98" s="185"/>
      <c r="M98" s="185"/>
      <c r="N98" s="185"/>
      <c r="O98" s="185"/>
      <c r="P98" s="185"/>
    </row>
    <row r="99" spans="1:16">
      <c r="A99" s="185"/>
      <c r="B99" s="185"/>
      <c r="C99" s="185"/>
      <c r="D99" s="185"/>
      <c r="E99" s="185"/>
      <c r="F99" s="185"/>
      <c r="G99" s="185"/>
      <c r="H99" s="185"/>
      <c r="I99" s="185"/>
      <c r="J99" s="185"/>
      <c r="K99" s="185"/>
      <c r="L99" s="185"/>
      <c r="M99" s="185"/>
      <c r="N99" s="185"/>
      <c r="O99" s="185"/>
      <c r="P99" s="185"/>
    </row>
    <row r="100" spans="1:16">
      <c r="A100" s="185"/>
      <c r="B100" s="185"/>
      <c r="C100" s="185"/>
      <c r="D100" s="185"/>
      <c r="E100" s="185"/>
      <c r="F100" s="185"/>
      <c r="G100" s="185"/>
      <c r="H100" s="185"/>
      <c r="I100" s="185"/>
      <c r="J100" s="185"/>
      <c r="K100" s="185"/>
      <c r="L100" s="185"/>
      <c r="M100" s="185"/>
      <c r="N100" s="185"/>
      <c r="O100" s="185"/>
      <c r="P100" s="185"/>
    </row>
    <row r="101" spans="1:16">
      <c r="A101" s="185"/>
      <c r="B101" s="185"/>
      <c r="C101" s="185"/>
      <c r="D101" s="185"/>
      <c r="E101" s="185"/>
      <c r="F101" s="185"/>
      <c r="G101" s="185"/>
      <c r="H101" s="185"/>
      <c r="I101" s="185"/>
      <c r="J101" s="185"/>
      <c r="K101" s="185"/>
      <c r="L101" s="185"/>
      <c r="M101" s="185"/>
      <c r="N101" s="185"/>
      <c r="O101" s="185"/>
      <c r="P101" s="185"/>
    </row>
    <row r="102" spans="1:16">
      <c r="A102" s="185"/>
      <c r="B102" s="185"/>
      <c r="C102" s="185"/>
      <c r="D102" s="185"/>
      <c r="E102" s="185"/>
      <c r="F102" s="185"/>
      <c r="G102" s="185"/>
      <c r="H102" s="185"/>
      <c r="I102" s="185"/>
      <c r="J102" s="185"/>
      <c r="K102" s="185"/>
      <c r="L102" s="185"/>
      <c r="M102" s="185"/>
      <c r="N102" s="185"/>
      <c r="O102" s="185"/>
      <c r="P102" s="185"/>
    </row>
    <row r="103" spans="1:16">
      <c r="A103" s="185"/>
      <c r="B103" s="185"/>
      <c r="C103" s="185"/>
      <c r="D103" s="185"/>
      <c r="E103" s="185"/>
      <c r="F103" s="185"/>
      <c r="G103" s="185"/>
      <c r="H103" s="185"/>
      <c r="I103" s="185"/>
      <c r="J103" s="185"/>
      <c r="K103" s="185"/>
      <c r="L103" s="185"/>
      <c r="M103" s="185"/>
      <c r="N103" s="185"/>
      <c r="O103" s="185"/>
      <c r="P103" s="185"/>
    </row>
    <row r="104" spans="1:16">
      <c r="A104" s="185"/>
      <c r="B104" s="185"/>
      <c r="C104" s="185"/>
      <c r="D104" s="185"/>
      <c r="E104" s="185"/>
      <c r="F104" s="185"/>
      <c r="G104" s="185"/>
      <c r="H104" s="185"/>
      <c r="I104" s="185"/>
      <c r="J104" s="185"/>
      <c r="K104" s="185"/>
      <c r="L104" s="185"/>
      <c r="M104" s="185"/>
      <c r="N104" s="185"/>
      <c r="O104" s="185"/>
      <c r="P104" s="185"/>
    </row>
    <row r="105" spans="1:16">
      <c r="A105" s="185"/>
      <c r="B105" s="185"/>
      <c r="C105" s="185"/>
      <c r="D105" s="185"/>
      <c r="E105" s="185"/>
      <c r="F105" s="185"/>
      <c r="G105" s="185"/>
      <c r="H105" s="185"/>
      <c r="I105" s="185"/>
      <c r="J105" s="185"/>
      <c r="K105" s="185"/>
      <c r="L105" s="185"/>
      <c r="M105" s="185"/>
      <c r="N105" s="185"/>
      <c r="O105" s="185"/>
      <c r="P105" s="185"/>
    </row>
    <row r="106" spans="1:16">
      <c r="A106" s="185"/>
      <c r="B106" s="185"/>
      <c r="C106" s="185"/>
      <c r="D106" s="185"/>
      <c r="E106" s="185"/>
      <c r="F106" s="185"/>
      <c r="G106" s="185"/>
      <c r="H106" s="185"/>
      <c r="I106" s="185"/>
      <c r="J106" s="185"/>
      <c r="K106" s="185"/>
      <c r="L106" s="185"/>
      <c r="M106" s="185"/>
      <c r="N106" s="185"/>
      <c r="O106" s="185"/>
      <c r="P106" s="185"/>
    </row>
    <row r="107" spans="1:16">
      <c r="A107" s="185"/>
      <c r="B107" s="185"/>
      <c r="C107" s="185"/>
      <c r="D107" s="185"/>
      <c r="E107" s="185"/>
      <c r="F107" s="185"/>
      <c r="G107" s="185"/>
      <c r="H107" s="185"/>
      <c r="I107" s="185"/>
      <c r="J107" s="185"/>
      <c r="K107" s="185"/>
      <c r="L107" s="185"/>
      <c r="M107" s="185"/>
      <c r="N107" s="185"/>
      <c r="O107" s="185"/>
      <c r="P107" s="185"/>
    </row>
    <row r="108" spans="1:16">
      <c r="A108" s="185"/>
      <c r="B108" s="185"/>
      <c r="C108" s="185"/>
      <c r="D108" s="185"/>
      <c r="E108" s="185"/>
      <c r="F108" s="185"/>
      <c r="G108" s="185"/>
      <c r="H108" s="185"/>
      <c r="I108" s="185"/>
      <c r="J108" s="185"/>
      <c r="K108" s="185"/>
      <c r="L108" s="185"/>
      <c r="M108" s="185"/>
      <c r="N108" s="185"/>
      <c r="O108" s="185"/>
      <c r="P108" s="185"/>
    </row>
    <row r="109" spans="1:16">
      <c r="A109" s="185"/>
      <c r="B109" s="185"/>
      <c r="C109" s="185"/>
      <c r="D109" s="185"/>
      <c r="E109" s="185"/>
      <c r="F109" s="185"/>
      <c r="G109" s="185"/>
      <c r="H109" s="185"/>
      <c r="I109" s="185"/>
      <c r="J109" s="185"/>
      <c r="K109" s="185"/>
      <c r="L109" s="185"/>
      <c r="M109" s="185"/>
      <c r="N109" s="185"/>
      <c r="O109" s="185"/>
      <c r="P109" s="185"/>
    </row>
    <row r="110" spans="1:16">
      <c r="A110" s="185"/>
      <c r="B110" s="185"/>
      <c r="C110" s="185"/>
      <c r="D110" s="185"/>
      <c r="E110" s="185"/>
      <c r="F110" s="185"/>
      <c r="G110" s="185"/>
      <c r="H110" s="185"/>
      <c r="I110" s="185"/>
      <c r="J110" s="185"/>
      <c r="K110" s="185"/>
      <c r="L110" s="185"/>
      <c r="M110" s="185"/>
      <c r="N110" s="185"/>
      <c r="O110" s="185"/>
      <c r="P110" s="185"/>
    </row>
    <row r="111" spans="1:16">
      <c r="A111" s="185"/>
      <c r="B111" s="185"/>
      <c r="C111" s="185"/>
      <c r="D111" s="185"/>
      <c r="E111" s="185"/>
      <c r="F111" s="185"/>
      <c r="G111" s="185"/>
      <c r="H111" s="185"/>
      <c r="I111" s="185"/>
      <c r="J111" s="185"/>
      <c r="K111" s="185"/>
      <c r="L111" s="185"/>
      <c r="M111" s="185"/>
      <c r="N111" s="185"/>
      <c r="O111" s="185"/>
      <c r="P111" s="185"/>
    </row>
    <row r="112" spans="1:16">
      <c r="A112" s="185"/>
      <c r="B112" s="185"/>
      <c r="C112" s="185"/>
      <c r="D112" s="185"/>
      <c r="E112" s="185"/>
      <c r="F112" s="185"/>
      <c r="G112" s="185"/>
      <c r="H112" s="185"/>
      <c r="I112" s="185"/>
      <c r="J112" s="185"/>
      <c r="K112" s="185"/>
      <c r="L112" s="185"/>
      <c r="M112" s="185"/>
      <c r="N112" s="185"/>
      <c r="O112" s="185"/>
      <c r="P112" s="185"/>
    </row>
    <row r="113" spans="1:16">
      <c r="A113" s="185"/>
      <c r="B113" s="185"/>
      <c r="C113" s="185"/>
      <c r="D113" s="185"/>
      <c r="E113" s="185"/>
      <c r="F113" s="185"/>
      <c r="G113" s="185"/>
      <c r="H113" s="185"/>
      <c r="I113" s="185"/>
      <c r="J113" s="185"/>
      <c r="K113" s="185"/>
      <c r="L113" s="185"/>
      <c r="M113" s="185"/>
      <c r="N113" s="185"/>
      <c r="O113" s="185"/>
      <c r="P113" s="185"/>
    </row>
    <row r="114" spans="1:16">
      <c r="A114" s="185"/>
      <c r="B114" s="185"/>
      <c r="C114" s="185"/>
      <c r="D114" s="185"/>
      <c r="E114" s="185"/>
      <c r="F114" s="185"/>
      <c r="G114" s="185"/>
      <c r="H114" s="185"/>
      <c r="I114" s="185"/>
      <c r="J114" s="185"/>
      <c r="K114" s="185"/>
      <c r="L114" s="185"/>
      <c r="M114" s="185"/>
      <c r="N114" s="185"/>
      <c r="O114" s="185"/>
      <c r="P114" s="185"/>
    </row>
    <row r="115" spans="1:16">
      <c r="A115" s="185"/>
      <c r="B115" s="185"/>
      <c r="C115" s="185"/>
      <c r="D115" s="185"/>
      <c r="E115" s="185"/>
      <c r="F115" s="185"/>
      <c r="G115" s="185"/>
      <c r="H115" s="185"/>
      <c r="I115" s="185"/>
      <c r="J115" s="185"/>
      <c r="K115" s="185"/>
      <c r="L115" s="185"/>
      <c r="M115" s="185"/>
      <c r="N115" s="185"/>
      <c r="O115" s="185"/>
      <c r="P115" s="185"/>
    </row>
    <row r="116" spans="1:16">
      <c r="A116" s="185"/>
      <c r="B116" s="185"/>
      <c r="C116" s="185"/>
      <c r="D116" s="185"/>
      <c r="E116" s="185"/>
      <c r="F116" s="185"/>
      <c r="G116" s="185"/>
      <c r="H116" s="185"/>
      <c r="I116" s="185"/>
      <c r="J116" s="185"/>
      <c r="K116" s="185"/>
      <c r="L116" s="185"/>
      <c r="M116" s="185"/>
      <c r="N116" s="185"/>
      <c r="O116" s="185"/>
      <c r="P116" s="185"/>
    </row>
    <row r="117" spans="1:16">
      <c r="A117" s="185"/>
      <c r="B117" s="185"/>
      <c r="C117" s="185"/>
      <c r="D117" s="185"/>
      <c r="E117" s="185"/>
      <c r="F117" s="185"/>
      <c r="G117" s="185"/>
      <c r="H117" s="185"/>
      <c r="I117" s="185"/>
      <c r="J117" s="185"/>
      <c r="K117" s="185"/>
      <c r="L117" s="185"/>
      <c r="M117" s="185"/>
      <c r="N117" s="185"/>
      <c r="O117" s="185"/>
      <c r="P117" s="185"/>
    </row>
    <row r="118" spans="1:16">
      <c r="A118" s="185"/>
      <c r="B118" s="185"/>
      <c r="C118" s="185"/>
      <c r="D118" s="185"/>
      <c r="E118" s="185"/>
      <c r="F118" s="185"/>
      <c r="G118" s="185"/>
      <c r="H118" s="185"/>
      <c r="I118" s="185"/>
      <c r="J118" s="185"/>
      <c r="K118" s="185"/>
      <c r="L118" s="185"/>
      <c r="M118" s="185"/>
      <c r="N118" s="185"/>
      <c r="O118" s="185"/>
      <c r="P118" s="185"/>
    </row>
    <row r="119" spans="1:16">
      <c r="A119" s="185"/>
      <c r="B119" s="185"/>
      <c r="C119" s="185"/>
      <c r="D119" s="185"/>
      <c r="E119" s="185"/>
      <c r="F119" s="185"/>
      <c r="G119" s="185"/>
      <c r="H119" s="185"/>
      <c r="I119" s="185"/>
      <c r="J119" s="185"/>
      <c r="K119" s="185"/>
      <c r="L119" s="185"/>
      <c r="M119" s="185"/>
      <c r="N119" s="185"/>
      <c r="O119" s="185"/>
      <c r="P119" s="185"/>
    </row>
    <row r="120" spans="1:16">
      <c r="A120" s="185"/>
      <c r="B120" s="185"/>
      <c r="C120" s="185"/>
      <c r="D120" s="185"/>
      <c r="E120" s="185"/>
      <c r="F120" s="185"/>
      <c r="G120" s="185"/>
      <c r="H120" s="185"/>
      <c r="I120" s="185"/>
      <c r="J120" s="185"/>
      <c r="K120" s="185"/>
      <c r="L120" s="185"/>
      <c r="M120" s="185"/>
      <c r="N120" s="185"/>
      <c r="O120" s="185"/>
      <c r="P120" s="185"/>
    </row>
    <row r="121" spans="1:16">
      <c r="A121" s="185"/>
      <c r="B121" s="185"/>
      <c r="C121" s="185"/>
      <c r="D121" s="185"/>
      <c r="E121" s="185"/>
      <c r="F121" s="185"/>
      <c r="G121" s="185"/>
      <c r="H121" s="185"/>
      <c r="I121" s="185"/>
      <c r="J121" s="185"/>
      <c r="K121" s="185"/>
      <c r="L121" s="185"/>
      <c r="M121" s="185"/>
      <c r="N121" s="185"/>
      <c r="O121" s="185"/>
      <c r="P121" s="185"/>
    </row>
    <row r="122" spans="1:16">
      <c r="A122" s="185"/>
      <c r="B122" s="185"/>
      <c r="C122" s="185"/>
      <c r="D122" s="185"/>
      <c r="E122" s="185"/>
      <c r="F122" s="185"/>
      <c r="G122" s="185"/>
      <c r="H122" s="185"/>
      <c r="I122" s="185"/>
      <c r="J122" s="185"/>
      <c r="K122" s="185"/>
      <c r="L122" s="185"/>
      <c r="M122" s="185"/>
      <c r="N122" s="185"/>
      <c r="O122" s="185"/>
      <c r="P122" s="185"/>
    </row>
    <row r="123" spans="1:16">
      <c r="A123" s="185"/>
      <c r="B123" s="185"/>
      <c r="C123" s="185"/>
      <c r="D123" s="185"/>
      <c r="E123" s="185"/>
      <c r="F123" s="185"/>
      <c r="G123" s="185"/>
      <c r="H123" s="185"/>
      <c r="I123" s="185"/>
      <c r="J123" s="185"/>
      <c r="K123" s="185"/>
      <c r="L123" s="185"/>
      <c r="M123" s="185"/>
      <c r="N123" s="185"/>
      <c r="O123" s="185"/>
      <c r="P123" s="185"/>
    </row>
    <row r="124" spans="1:16">
      <c r="A124" s="185"/>
      <c r="B124" s="185"/>
      <c r="C124" s="185"/>
      <c r="D124" s="185"/>
      <c r="E124" s="185"/>
      <c r="F124" s="185"/>
      <c r="G124" s="185"/>
      <c r="H124" s="185"/>
      <c r="I124" s="185"/>
      <c r="J124" s="185"/>
      <c r="K124" s="185"/>
      <c r="L124" s="185"/>
      <c r="M124" s="185"/>
      <c r="N124" s="185"/>
      <c r="O124" s="185"/>
      <c r="P124" s="185"/>
    </row>
    <row r="125" spans="1:16">
      <c r="A125" s="185"/>
      <c r="B125" s="185"/>
      <c r="C125" s="185"/>
      <c r="D125" s="185"/>
      <c r="E125" s="185"/>
      <c r="F125" s="185"/>
      <c r="G125" s="185"/>
      <c r="H125" s="185"/>
      <c r="I125" s="185"/>
      <c r="J125" s="185"/>
      <c r="K125" s="185"/>
      <c r="L125" s="185"/>
      <c r="M125" s="185"/>
      <c r="N125" s="185"/>
      <c r="O125" s="185"/>
      <c r="P125" s="185"/>
    </row>
    <row r="126" spans="1:16">
      <c r="A126" s="185"/>
      <c r="B126" s="185"/>
      <c r="C126" s="185"/>
      <c r="D126" s="185"/>
      <c r="E126" s="185"/>
      <c r="F126" s="185"/>
      <c r="G126" s="185"/>
      <c r="H126" s="185"/>
      <c r="I126" s="185"/>
      <c r="J126" s="185"/>
      <c r="K126" s="185"/>
      <c r="L126" s="185"/>
      <c r="M126" s="185"/>
      <c r="N126" s="185"/>
      <c r="O126" s="185"/>
      <c r="P126" s="185"/>
    </row>
    <row r="127" spans="1:16">
      <c r="A127" s="185"/>
      <c r="B127" s="185"/>
      <c r="C127" s="185"/>
      <c r="D127" s="185"/>
      <c r="E127" s="185"/>
      <c r="F127" s="185"/>
      <c r="G127" s="185"/>
      <c r="H127" s="185"/>
      <c r="I127" s="185"/>
      <c r="J127" s="185"/>
      <c r="K127" s="185"/>
      <c r="L127" s="185"/>
      <c r="M127" s="185"/>
      <c r="N127" s="185"/>
      <c r="O127" s="185"/>
      <c r="P127" s="185"/>
    </row>
    <row r="128" spans="1:16">
      <c r="A128" s="185"/>
      <c r="B128" s="185"/>
      <c r="C128" s="185"/>
      <c r="D128" s="185"/>
      <c r="E128" s="185"/>
      <c r="F128" s="185"/>
      <c r="G128" s="185"/>
      <c r="H128" s="185"/>
      <c r="I128" s="185"/>
      <c r="J128" s="185"/>
      <c r="K128" s="185"/>
      <c r="L128" s="185"/>
      <c r="M128" s="185"/>
      <c r="N128" s="185"/>
      <c r="O128" s="185"/>
      <c r="P128" s="185"/>
    </row>
    <row r="129" spans="1:16">
      <c r="A129" s="185"/>
      <c r="B129" s="185"/>
      <c r="C129" s="185"/>
      <c r="D129" s="185"/>
      <c r="E129" s="185"/>
      <c r="F129" s="185"/>
      <c r="G129" s="185"/>
      <c r="H129" s="185"/>
      <c r="I129" s="185"/>
      <c r="J129" s="185"/>
      <c r="K129" s="185"/>
      <c r="L129" s="185"/>
      <c r="M129" s="185"/>
      <c r="N129" s="185"/>
      <c r="O129" s="185"/>
      <c r="P129" s="185"/>
    </row>
    <row r="130" spans="1:16">
      <c r="A130" s="185"/>
      <c r="B130" s="185"/>
      <c r="C130" s="185"/>
      <c r="D130" s="185"/>
      <c r="E130" s="185"/>
      <c r="F130" s="185"/>
      <c r="G130" s="185"/>
      <c r="H130" s="185"/>
      <c r="I130" s="185"/>
      <c r="J130" s="185"/>
      <c r="K130" s="185"/>
      <c r="L130" s="185"/>
      <c r="M130" s="185"/>
      <c r="N130" s="185"/>
      <c r="O130" s="185"/>
      <c r="P130" s="185"/>
    </row>
    <row r="131" spans="1:16">
      <c r="A131" s="185"/>
      <c r="B131" s="185"/>
      <c r="C131" s="185"/>
      <c r="D131" s="185"/>
      <c r="E131" s="185"/>
      <c r="F131" s="185"/>
      <c r="G131" s="185"/>
      <c r="H131" s="185"/>
      <c r="I131" s="185"/>
      <c r="J131" s="185"/>
      <c r="K131" s="185"/>
      <c r="L131" s="185"/>
      <c r="M131" s="185"/>
      <c r="N131" s="185"/>
      <c r="O131" s="185"/>
      <c r="P131" s="185"/>
    </row>
    <row r="132" spans="1:16">
      <c r="A132" s="185"/>
      <c r="B132" s="185"/>
      <c r="C132" s="185"/>
      <c r="D132" s="185"/>
      <c r="E132" s="185"/>
      <c r="F132" s="185"/>
      <c r="G132" s="185"/>
      <c r="H132" s="185"/>
      <c r="I132" s="185"/>
      <c r="J132" s="185"/>
      <c r="K132" s="185"/>
      <c r="L132" s="185"/>
      <c r="M132" s="185"/>
      <c r="N132" s="185"/>
      <c r="O132" s="185"/>
      <c r="P132" s="185"/>
    </row>
    <row r="133" spans="1:16">
      <c r="A133" s="185"/>
      <c r="B133" s="185"/>
      <c r="C133" s="185"/>
      <c r="D133" s="185"/>
      <c r="E133" s="185"/>
      <c r="F133" s="185"/>
      <c r="G133" s="185"/>
      <c r="H133" s="185"/>
      <c r="I133" s="185"/>
      <c r="J133" s="185"/>
      <c r="K133" s="185"/>
      <c r="L133" s="185"/>
      <c r="M133" s="185"/>
      <c r="N133" s="185"/>
      <c r="O133" s="185"/>
      <c r="P133" s="185"/>
    </row>
    <row r="134" spans="1:16">
      <c r="A134" s="185"/>
      <c r="B134" s="185"/>
      <c r="C134" s="185"/>
      <c r="D134" s="185"/>
      <c r="E134" s="185"/>
      <c r="F134" s="185"/>
      <c r="G134" s="185"/>
      <c r="H134" s="185"/>
      <c r="I134" s="185"/>
      <c r="J134" s="185"/>
      <c r="K134" s="185"/>
      <c r="L134" s="185"/>
      <c r="M134" s="185"/>
      <c r="N134" s="185"/>
      <c r="O134" s="185"/>
      <c r="P134" s="185"/>
    </row>
    <row r="135" spans="1:16">
      <c r="A135" s="185"/>
      <c r="B135" s="185"/>
      <c r="C135" s="185"/>
      <c r="D135" s="185"/>
      <c r="E135" s="185"/>
      <c r="F135" s="185"/>
      <c r="G135" s="185"/>
      <c r="H135" s="185"/>
      <c r="I135" s="185"/>
      <c r="J135" s="185"/>
      <c r="K135" s="185"/>
      <c r="L135" s="185"/>
      <c r="M135" s="185"/>
      <c r="N135" s="185"/>
      <c r="O135" s="185"/>
      <c r="P135" s="185"/>
    </row>
    <row r="136" spans="1:16">
      <c r="A136" s="185"/>
      <c r="B136" s="185"/>
      <c r="C136" s="185"/>
      <c r="D136" s="185"/>
      <c r="E136" s="185"/>
      <c r="F136" s="185"/>
      <c r="G136" s="185"/>
      <c r="H136" s="185"/>
      <c r="I136" s="185"/>
      <c r="J136" s="185"/>
      <c r="K136" s="185"/>
      <c r="L136" s="185"/>
      <c r="M136" s="185"/>
      <c r="N136" s="185"/>
      <c r="O136" s="185"/>
      <c r="P136" s="185"/>
    </row>
    <row r="137" spans="1:16">
      <c r="A137" s="185"/>
      <c r="B137" s="185"/>
      <c r="C137" s="185"/>
      <c r="D137" s="185"/>
      <c r="E137" s="185"/>
      <c r="F137" s="185"/>
      <c r="G137" s="185"/>
      <c r="H137" s="185"/>
      <c r="I137" s="185"/>
      <c r="J137" s="185"/>
      <c r="K137" s="185"/>
      <c r="L137" s="185"/>
      <c r="M137" s="185"/>
      <c r="N137" s="185"/>
      <c r="O137" s="185"/>
      <c r="P137" s="185"/>
    </row>
    <row r="138" spans="1:16">
      <c r="A138" s="185"/>
      <c r="B138" s="185"/>
      <c r="C138" s="185"/>
      <c r="D138" s="185"/>
      <c r="E138" s="185"/>
      <c r="F138" s="185"/>
      <c r="G138" s="185"/>
      <c r="H138" s="185"/>
      <c r="I138" s="185"/>
      <c r="J138" s="185"/>
      <c r="K138" s="185"/>
      <c r="L138" s="185"/>
      <c r="M138" s="185"/>
      <c r="N138" s="185"/>
      <c r="O138" s="185"/>
      <c r="P138" s="185"/>
    </row>
    <row r="139" spans="1:16">
      <c r="A139" s="185"/>
      <c r="B139" s="185"/>
      <c r="C139" s="185"/>
      <c r="D139" s="185"/>
      <c r="E139" s="185"/>
      <c r="F139" s="185"/>
      <c r="G139" s="185"/>
      <c r="H139" s="185"/>
      <c r="I139" s="185"/>
      <c r="J139" s="185"/>
      <c r="K139" s="185"/>
      <c r="L139" s="185"/>
      <c r="M139" s="185"/>
      <c r="N139" s="185"/>
      <c r="O139" s="185"/>
      <c r="P139" s="185"/>
    </row>
    <row r="140" spans="1:16">
      <c r="A140" s="185"/>
      <c r="B140" s="185"/>
      <c r="C140" s="185"/>
      <c r="D140" s="185"/>
      <c r="E140" s="185"/>
      <c r="F140" s="185"/>
      <c r="G140" s="185"/>
      <c r="H140" s="185"/>
      <c r="I140" s="185"/>
      <c r="J140" s="185"/>
      <c r="K140" s="185"/>
      <c r="L140" s="185"/>
      <c r="M140" s="185"/>
      <c r="N140" s="185"/>
      <c r="O140" s="185"/>
      <c r="P140" s="185"/>
    </row>
    <row r="141" spans="1:16">
      <c r="A141" s="185"/>
      <c r="B141" s="185"/>
      <c r="C141" s="185"/>
      <c r="D141" s="185"/>
      <c r="E141" s="185"/>
      <c r="F141" s="185"/>
      <c r="G141" s="185"/>
      <c r="H141" s="185"/>
      <c r="I141" s="185"/>
      <c r="J141" s="185"/>
      <c r="K141" s="185"/>
      <c r="L141" s="185"/>
      <c r="M141" s="185"/>
      <c r="N141" s="185"/>
      <c r="O141" s="185"/>
      <c r="P141" s="185"/>
    </row>
    <row r="142" spans="1:16">
      <c r="A142" s="185"/>
      <c r="B142" s="185"/>
      <c r="C142" s="185"/>
      <c r="D142" s="185"/>
      <c r="E142" s="185"/>
      <c r="F142" s="185"/>
      <c r="G142" s="185"/>
      <c r="H142" s="185"/>
      <c r="I142" s="185"/>
      <c r="J142" s="185"/>
      <c r="K142" s="185"/>
      <c r="L142" s="185"/>
      <c r="M142" s="185"/>
      <c r="N142" s="185"/>
      <c r="O142" s="185"/>
      <c r="P142" s="185"/>
    </row>
    <row r="143" spans="1:16">
      <c r="A143" s="185"/>
      <c r="B143" s="185"/>
      <c r="C143" s="185"/>
      <c r="D143" s="185"/>
      <c r="E143" s="185"/>
      <c r="F143" s="185"/>
      <c r="G143" s="185"/>
      <c r="H143" s="185"/>
      <c r="I143" s="185"/>
      <c r="J143" s="185"/>
      <c r="K143" s="185"/>
      <c r="L143" s="185"/>
      <c r="M143" s="185"/>
      <c r="N143" s="185"/>
      <c r="O143" s="185"/>
      <c r="P143" s="185"/>
    </row>
    <row r="144" spans="1:16">
      <c r="A144" s="185"/>
      <c r="B144" s="185"/>
      <c r="C144" s="185"/>
      <c r="D144" s="185"/>
      <c r="E144" s="185"/>
      <c r="F144" s="185"/>
      <c r="G144" s="185"/>
      <c r="H144" s="185"/>
      <c r="I144" s="185"/>
      <c r="J144" s="185"/>
      <c r="K144" s="185"/>
      <c r="L144" s="185"/>
      <c r="M144" s="185"/>
      <c r="N144" s="185"/>
      <c r="O144" s="185"/>
      <c r="P144" s="185"/>
    </row>
    <row r="145" spans="1:16">
      <c r="A145" s="185"/>
      <c r="B145" s="185"/>
      <c r="C145" s="185"/>
      <c r="D145" s="185"/>
      <c r="E145" s="185"/>
      <c r="F145" s="185"/>
      <c r="G145" s="185"/>
      <c r="H145" s="185"/>
      <c r="I145" s="185"/>
      <c r="J145" s="185"/>
      <c r="K145" s="185"/>
      <c r="L145" s="185"/>
      <c r="M145" s="185"/>
      <c r="N145" s="185"/>
      <c r="O145" s="185"/>
      <c r="P145" s="185"/>
    </row>
    <row r="146" spans="1:16">
      <c r="A146" s="185"/>
      <c r="B146" s="185"/>
      <c r="C146" s="185"/>
      <c r="D146" s="185"/>
      <c r="E146" s="185"/>
      <c r="F146" s="185"/>
      <c r="G146" s="185"/>
      <c r="H146" s="185"/>
      <c r="I146" s="185"/>
      <c r="J146" s="185"/>
      <c r="K146" s="185"/>
      <c r="L146" s="185"/>
      <c r="M146" s="185"/>
      <c r="N146" s="185"/>
      <c r="O146" s="185"/>
      <c r="P146" s="185"/>
    </row>
    <row r="147" spans="1:16">
      <c r="A147" s="185"/>
      <c r="B147" s="185"/>
      <c r="C147" s="185"/>
      <c r="D147" s="185"/>
      <c r="E147" s="185"/>
      <c r="F147" s="185"/>
      <c r="G147" s="185"/>
      <c r="H147" s="185"/>
      <c r="I147" s="185"/>
      <c r="J147" s="185"/>
      <c r="K147" s="185"/>
      <c r="L147" s="185"/>
      <c r="M147" s="185"/>
      <c r="N147" s="185"/>
      <c r="O147" s="185"/>
      <c r="P147" s="185"/>
    </row>
    <row r="148" spans="1:16">
      <c r="A148" s="185"/>
      <c r="B148" s="185"/>
      <c r="C148" s="185"/>
      <c r="D148" s="185"/>
      <c r="E148" s="185"/>
      <c r="F148" s="185"/>
      <c r="G148" s="185"/>
      <c r="H148" s="185"/>
      <c r="I148" s="185"/>
      <c r="J148" s="185"/>
      <c r="K148" s="185"/>
      <c r="L148" s="185"/>
      <c r="M148" s="185"/>
      <c r="N148" s="185"/>
      <c r="O148" s="185"/>
      <c r="P148" s="185"/>
    </row>
    <row r="149" spans="1:16">
      <c r="A149" s="185"/>
      <c r="B149" s="185"/>
      <c r="C149" s="185"/>
      <c r="D149" s="185"/>
      <c r="E149" s="185"/>
      <c r="F149" s="185"/>
      <c r="G149" s="185"/>
      <c r="H149" s="185"/>
      <c r="I149" s="185"/>
      <c r="J149" s="185"/>
      <c r="K149" s="185"/>
      <c r="L149" s="185"/>
      <c r="M149" s="185"/>
      <c r="N149" s="185"/>
      <c r="O149" s="185"/>
      <c r="P149" s="185"/>
    </row>
    <row r="150" spans="1:16">
      <c r="A150" s="185"/>
      <c r="B150" s="185"/>
      <c r="C150" s="185"/>
      <c r="D150" s="185"/>
      <c r="E150" s="185"/>
      <c r="F150" s="185"/>
      <c r="G150" s="185"/>
      <c r="H150" s="185"/>
      <c r="I150" s="185"/>
      <c r="J150" s="185"/>
      <c r="K150" s="185"/>
      <c r="L150" s="185"/>
      <c r="M150" s="185"/>
      <c r="N150" s="185"/>
      <c r="O150" s="185"/>
      <c r="P150" s="185"/>
    </row>
    <row r="151" spans="1:16">
      <c r="A151" s="185"/>
      <c r="B151" s="185"/>
      <c r="C151" s="185"/>
      <c r="D151" s="185"/>
      <c r="E151" s="185"/>
      <c r="F151" s="185"/>
      <c r="G151" s="185"/>
      <c r="H151" s="185"/>
      <c r="I151" s="185"/>
      <c r="J151" s="185"/>
      <c r="K151" s="185"/>
      <c r="L151" s="185"/>
      <c r="M151" s="185"/>
      <c r="N151" s="185"/>
      <c r="O151" s="185"/>
      <c r="P151" s="185"/>
    </row>
    <row r="152" spans="1:16">
      <c r="A152" s="185"/>
      <c r="B152" s="185"/>
      <c r="C152" s="185"/>
      <c r="D152" s="185"/>
      <c r="E152" s="185"/>
      <c r="F152" s="185"/>
      <c r="G152" s="185"/>
      <c r="H152" s="185"/>
      <c r="I152" s="185"/>
      <c r="J152" s="185"/>
      <c r="K152" s="185"/>
      <c r="L152" s="185"/>
      <c r="M152" s="185"/>
      <c r="N152" s="185"/>
      <c r="O152" s="185"/>
      <c r="P152" s="185"/>
    </row>
    <row r="153" spans="1:16">
      <c r="A153" s="185"/>
      <c r="B153" s="185"/>
      <c r="C153" s="185"/>
      <c r="D153" s="185"/>
      <c r="E153" s="185"/>
      <c r="F153" s="185"/>
      <c r="G153" s="185"/>
      <c r="H153" s="185"/>
      <c r="I153" s="185"/>
      <c r="J153" s="185"/>
      <c r="K153" s="185"/>
      <c r="L153" s="185"/>
      <c r="M153" s="185"/>
      <c r="N153" s="185"/>
      <c r="O153" s="185"/>
      <c r="P153" s="185"/>
    </row>
    <row r="154" spans="1:16">
      <c r="A154" s="185"/>
      <c r="B154" s="185"/>
      <c r="C154" s="185"/>
      <c r="D154" s="185"/>
      <c r="E154" s="185"/>
      <c r="F154" s="185"/>
      <c r="G154" s="185"/>
      <c r="H154" s="185"/>
      <c r="I154" s="185"/>
      <c r="J154" s="185"/>
      <c r="K154" s="185"/>
      <c r="L154" s="185"/>
      <c r="M154" s="185"/>
      <c r="N154" s="185"/>
      <c r="O154" s="185"/>
      <c r="P154" s="185"/>
    </row>
    <row r="155" spans="1:16">
      <c r="A155" s="185"/>
      <c r="B155" s="185"/>
      <c r="C155" s="185"/>
      <c r="D155" s="185"/>
      <c r="E155" s="185"/>
      <c r="F155" s="185"/>
      <c r="G155" s="185"/>
      <c r="H155" s="185"/>
      <c r="I155" s="185"/>
      <c r="J155" s="185"/>
      <c r="K155" s="185"/>
      <c r="L155" s="185"/>
      <c r="M155" s="185"/>
      <c r="N155" s="185"/>
      <c r="O155" s="185"/>
      <c r="P155" s="185"/>
    </row>
    <row r="156" spans="1:16">
      <c r="A156" s="185"/>
      <c r="B156" s="185"/>
      <c r="C156" s="185"/>
      <c r="D156" s="185"/>
      <c r="E156" s="185"/>
      <c r="F156" s="185"/>
      <c r="G156" s="185"/>
      <c r="H156" s="185"/>
      <c r="I156" s="185"/>
      <c r="J156" s="185"/>
      <c r="K156" s="185"/>
      <c r="L156" s="185"/>
      <c r="M156" s="185"/>
      <c r="N156" s="185"/>
      <c r="O156" s="185"/>
      <c r="P156" s="185"/>
    </row>
    <row r="157" spans="1:16">
      <c r="A157" s="185"/>
      <c r="B157" s="185"/>
      <c r="C157" s="185"/>
      <c r="D157" s="185"/>
      <c r="E157" s="185"/>
      <c r="F157" s="185"/>
      <c r="G157" s="185"/>
      <c r="H157" s="185"/>
      <c r="I157" s="185"/>
      <c r="J157" s="185"/>
      <c r="K157" s="185"/>
      <c r="L157" s="185"/>
      <c r="M157" s="185"/>
      <c r="N157" s="185"/>
      <c r="O157" s="185"/>
      <c r="P157" s="185"/>
    </row>
    <row r="158" spans="1:16">
      <c r="A158" s="185"/>
      <c r="B158" s="185"/>
      <c r="C158" s="185"/>
      <c r="D158" s="185"/>
      <c r="E158" s="185"/>
      <c r="F158" s="185"/>
      <c r="G158" s="185"/>
      <c r="H158" s="185"/>
      <c r="I158" s="185"/>
      <c r="J158" s="185"/>
      <c r="K158" s="185"/>
      <c r="L158" s="185"/>
      <c r="M158" s="185"/>
      <c r="N158" s="185"/>
      <c r="O158" s="185"/>
      <c r="P158" s="185"/>
    </row>
    <row r="159" spans="1:16">
      <c r="A159" s="185"/>
      <c r="B159" s="185"/>
      <c r="C159" s="185"/>
      <c r="D159" s="185"/>
      <c r="E159" s="185"/>
      <c r="F159" s="185"/>
      <c r="G159" s="185"/>
      <c r="H159" s="185"/>
      <c r="I159" s="185"/>
      <c r="J159" s="185"/>
      <c r="K159" s="185"/>
      <c r="L159" s="185"/>
      <c r="M159" s="185"/>
      <c r="N159" s="185"/>
      <c r="O159" s="185"/>
      <c r="P159" s="185"/>
    </row>
    <row r="160" spans="1:16">
      <c r="A160" s="185"/>
      <c r="B160" s="185"/>
      <c r="C160" s="185"/>
      <c r="D160" s="185"/>
      <c r="E160" s="185"/>
      <c r="F160" s="185"/>
      <c r="G160" s="185"/>
      <c r="H160" s="185"/>
      <c r="I160" s="185"/>
      <c r="J160" s="185"/>
      <c r="K160" s="185"/>
      <c r="L160" s="185"/>
      <c r="M160" s="185"/>
      <c r="N160" s="185"/>
      <c r="O160" s="185"/>
      <c r="P160" s="185"/>
    </row>
    <row r="161" spans="1:16">
      <c r="A161" s="185"/>
      <c r="B161" s="185"/>
      <c r="C161" s="185"/>
      <c r="D161" s="185"/>
      <c r="E161" s="185"/>
      <c r="F161" s="185"/>
      <c r="G161" s="185"/>
      <c r="H161" s="185"/>
      <c r="I161" s="185"/>
      <c r="J161" s="185"/>
      <c r="K161" s="185"/>
      <c r="L161" s="185"/>
      <c r="M161" s="185"/>
      <c r="N161" s="185"/>
      <c r="O161" s="185"/>
      <c r="P161" s="185"/>
    </row>
    <row r="162" spans="1:16">
      <c r="A162" s="185"/>
      <c r="B162" s="185"/>
      <c r="C162" s="185"/>
      <c r="D162" s="185"/>
      <c r="E162" s="185"/>
      <c r="F162" s="185"/>
      <c r="G162" s="185"/>
      <c r="H162" s="185"/>
      <c r="I162" s="185"/>
      <c r="J162" s="185"/>
      <c r="K162" s="185"/>
      <c r="L162" s="185"/>
      <c r="M162" s="185"/>
      <c r="N162" s="185"/>
      <c r="O162" s="185"/>
      <c r="P162" s="185"/>
    </row>
    <row r="163" spans="1:16">
      <c r="A163" s="185"/>
      <c r="B163" s="185"/>
      <c r="C163" s="185"/>
      <c r="D163" s="185"/>
      <c r="E163" s="185"/>
      <c r="F163" s="185"/>
      <c r="G163" s="185"/>
      <c r="H163" s="185"/>
      <c r="I163" s="185"/>
      <c r="J163" s="185"/>
      <c r="K163" s="185"/>
      <c r="L163" s="185"/>
      <c r="M163" s="185"/>
      <c r="N163" s="185"/>
      <c r="O163" s="185"/>
      <c r="P163" s="185"/>
    </row>
    <row r="164" spans="1:16">
      <c r="A164" s="185"/>
      <c r="B164" s="185"/>
      <c r="C164" s="185"/>
      <c r="D164" s="185"/>
      <c r="E164" s="185"/>
      <c r="F164" s="185"/>
      <c r="G164" s="185"/>
      <c r="H164" s="185"/>
      <c r="I164" s="185"/>
      <c r="J164" s="185"/>
      <c r="K164" s="185"/>
      <c r="L164" s="185"/>
      <c r="M164" s="185"/>
      <c r="N164" s="185"/>
      <c r="O164" s="185"/>
      <c r="P164" s="185"/>
    </row>
    <row r="165" spans="1:16">
      <c r="A165" s="185"/>
      <c r="B165" s="185"/>
      <c r="C165" s="185"/>
      <c r="D165" s="185"/>
      <c r="E165" s="185"/>
      <c r="F165" s="185"/>
      <c r="G165" s="185"/>
      <c r="H165" s="185"/>
      <c r="I165" s="185"/>
      <c r="J165" s="185"/>
      <c r="K165" s="185"/>
      <c r="L165" s="185"/>
      <c r="M165" s="185"/>
      <c r="N165" s="185"/>
      <c r="O165" s="185"/>
      <c r="P165" s="185"/>
    </row>
    <row r="166" spans="1:16">
      <c r="A166" s="185"/>
      <c r="B166" s="185"/>
      <c r="C166" s="185"/>
      <c r="D166" s="185"/>
      <c r="E166" s="185"/>
      <c r="F166" s="185"/>
      <c r="G166" s="185"/>
      <c r="H166" s="185"/>
      <c r="I166" s="185"/>
      <c r="J166" s="185"/>
      <c r="K166" s="185"/>
      <c r="L166" s="185"/>
      <c r="M166" s="185"/>
      <c r="N166" s="185"/>
      <c r="O166" s="185"/>
      <c r="P166" s="185"/>
    </row>
    <row r="167" spans="1:16">
      <c r="A167" s="185"/>
      <c r="B167" s="185"/>
      <c r="C167" s="185"/>
      <c r="D167" s="185"/>
      <c r="E167" s="185"/>
      <c r="F167" s="185"/>
      <c r="G167" s="185"/>
      <c r="H167" s="185"/>
      <c r="I167" s="185"/>
      <c r="J167" s="185"/>
      <c r="K167" s="185"/>
      <c r="L167" s="185"/>
      <c r="M167" s="185"/>
      <c r="N167" s="185"/>
      <c r="O167" s="185"/>
      <c r="P167" s="185"/>
    </row>
    <row r="168" spans="1:16">
      <c r="A168" s="185"/>
      <c r="B168" s="185"/>
      <c r="C168" s="185"/>
      <c r="D168" s="185"/>
      <c r="E168" s="185"/>
      <c r="F168" s="185"/>
      <c r="G168" s="185"/>
      <c r="H168" s="185"/>
      <c r="I168" s="185"/>
      <c r="J168" s="185"/>
      <c r="K168" s="185"/>
      <c r="L168" s="185"/>
      <c r="M168" s="185"/>
      <c r="N168" s="185"/>
      <c r="O168" s="185"/>
      <c r="P168" s="185"/>
    </row>
    <row r="169" spans="1:16">
      <c r="A169" s="185"/>
      <c r="B169" s="185"/>
      <c r="C169" s="185"/>
      <c r="D169" s="185"/>
      <c r="E169" s="185"/>
      <c r="F169" s="185"/>
      <c r="G169" s="185"/>
      <c r="H169" s="185"/>
      <c r="I169" s="185"/>
      <c r="J169" s="185"/>
      <c r="K169" s="185"/>
      <c r="L169" s="185"/>
      <c r="M169" s="185"/>
      <c r="N169" s="185"/>
      <c r="O169" s="185"/>
      <c r="P169" s="185"/>
    </row>
    <row r="170" spans="1:16">
      <c r="A170" s="185"/>
      <c r="B170" s="185"/>
      <c r="C170" s="185"/>
      <c r="D170" s="185"/>
      <c r="E170" s="185"/>
      <c r="F170" s="185"/>
      <c r="G170" s="185"/>
      <c r="H170" s="185"/>
      <c r="I170" s="185"/>
      <c r="J170" s="185"/>
      <c r="K170" s="185"/>
      <c r="L170" s="185"/>
      <c r="M170" s="185"/>
      <c r="N170" s="185"/>
      <c r="O170" s="185"/>
      <c r="P170" s="185"/>
    </row>
    <row r="171" spans="1:16">
      <c r="A171" s="185"/>
      <c r="B171" s="185"/>
      <c r="C171" s="185"/>
      <c r="D171" s="185"/>
      <c r="E171" s="185"/>
      <c r="F171" s="185"/>
      <c r="G171" s="185"/>
      <c r="H171" s="185"/>
      <c r="I171" s="185"/>
      <c r="J171" s="185"/>
      <c r="K171" s="185"/>
      <c r="L171" s="185"/>
      <c r="M171" s="185"/>
      <c r="N171" s="185"/>
      <c r="O171" s="185"/>
      <c r="P171" s="185"/>
    </row>
    <row r="172" spans="1:16">
      <c r="A172" s="185"/>
      <c r="B172" s="185"/>
      <c r="C172" s="185"/>
      <c r="D172" s="185"/>
      <c r="E172" s="185"/>
      <c r="F172" s="185"/>
      <c r="G172" s="185"/>
      <c r="H172" s="185"/>
      <c r="I172" s="185"/>
      <c r="J172" s="185"/>
      <c r="K172" s="185"/>
      <c r="L172" s="185"/>
      <c r="M172" s="185"/>
      <c r="N172" s="185"/>
      <c r="O172" s="185"/>
      <c r="P172" s="185"/>
    </row>
    <row r="173" spans="1:16">
      <c r="A173" s="185"/>
      <c r="B173" s="185"/>
      <c r="C173" s="185"/>
      <c r="D173" s="185"/>
      <c r="E173" s="185"/>
      <c r="F173" s="185"/>
      <c r="G173" s="185"/>
      <c r="H173" s="185"/>
      <c r="I173" s="185"/>
      <c r="J173" s="185"/>
      <c r="K173" s="185"/>
      <c r="L173" s="185"/>
      <c r="M173" s="185"/>
      <c r="N173" s="185"/>
      <c r="O173" s="185"/>
      <c r="P173" s="185"/>
    </row>
    <row r="174" spans="1:16">
      <c r="A174" s="185"/>
      <c r="B174" s="185"/>
      <c r="C174" s="185"/>
      <c r="D174" s="185"/>
      <c r="E174" s="185"/>
      <c r="F174" s="185"/>
      <c r="G174" s="185"/>
      <c r="H174" s="185"/>
      <c r="I174" s="185"/>
      <c r="J174" s="185"/>
      <c r="K174" s="185"/>
      <c r="L174" s="185"/>
      <c r="M174" s="185"/>
      <c r="N174" s="185"/>
      <c r="O174" s="185"/>
      <c r="P174" s="185"/>
    </row>
    <row r="175" spans="1:16">
      <c r="A175" s="185"/>
      <c r="B175" s="185"/>
      <c r="C175" s="185"/>
      <c r="D175" s="185"/>
      <c r="E175" s="185"/>
      <c r="F175" s="185"/>
      <c r="G175" s="185"/>
      <c r="H175" s="185"/>
      <c r="I175" s="185"/>
      <c r="J175" s="185"/>
      <c r="K175" s="185"/>
      <c r="L175" s="185"/>
      <c r="M175" s="185"/>
      <c r="N175" s="185"/>
      <c r="O175" s="185"/>
      <c r="P175" s="185"/>
    </row>
    <row r="176" spans="1:16">
      <c r="A176" s="185"/>
      <c r="B176" s="185"/>
      <c r="C176" s="185"/>
      <c r="D176" s="185"/>
      <c r="E176" s="185"/>
      <c r="F176" s="185"/>
      <c r="G176" s="185"/>
      <c r="H176" s="185"/>
      <c r="I176" s="185"/>
      <c r="J176" s="185"/>
      <c r="K176" s="185"/>
      <c r="L176" s="185"/>
      <c r="M176" s="185"/>
      <c r="N176" s="185"/>
      <c r="O176" s="185"/>
      <c r="P176" s="185"/>
    </row>
    <row r="177" spans="1:16">
      <c r="A177" s="185"/>
      <c r="B177" s="185"/>
      <c r="C177" s="185"/>
      <c r="D177" s="185"/>
      <c r="E177" s="185"/>
      <c r="F177" s="185"/>
      <c r="G177" s="185"/>
      <c r="H177" s="185"/>
      <c r="I177" s="185"/>
      <c r="J177" s="185"/>
      <c r="K177" s="185"/>
      <c r="L177" s="185"/>
      <c r="M177" s="185"/>
      <c r="N177" s="185"/>
      <c r="O177" s="185"/>
      <c r="P177" s="185"/>
    </row>
    <row r="178" spans="1:16">
      <c r="A178" s="185"/>
      <c r="B178" s="185"/>
      <c r="C178" s="185"/>
      <c r="D178" s="185"/>
      <c r="E178" s="185"/>
      <c r="F178" s="185"/>
      <c r="G178" s="185"/>
      <c r="H178" s="185"/>
      <c r="I178" s="185"/>
      <c r="J178" s="185"/>
      <c r="K178" s="185"/>
      <c r="L178" s="185"/>
      <c r="M178" s="185"/>
      <c r="N178" s="185"/>
      <c r="O178" s="185"/>
      <c r="P178" s="185"/>
    </row>
    <row r="179" spans="1:16">
      <c r="A179" s="185"/>
      <c r="B179" s="185"/>
      <c r="C179" s="185"/>
      <c r="D179" s="185"/>
      <c r="E179" s="185"/>
      <c r="F179" s="185"/>
      <c r="G179" s="185"/>
      <c r="H179" s="185"/>
      <c r="I179" s="185"/>
      <c r="J179" s="185"/>
      <c r="K179" s="185"/>
      <c r="L179" s="185"/>
      <c r="M179" s="185"/>
      <c r="N179" s="185"/>
      <c r="O179" s="185"/>
      <c r="P179" s="185"/>
    </row>
    <row r="180" spans="1:16">
      <c r="A180" s="185"/>
      <c r="B180" s="185"/>
      <c r="C180" s="185"/>
      <c r="D180" s="185"/>
      <c r="E180" s="185"/>
      <c r="F180" s="185"/>
      <c r="G180" s="185"/>
      <c r="H180" s="185"/>
      <c r="I180" s="185"/>
      <c r="J180" s="185"/>
      <c r="K180" s="185"/>
      <c r="L180" s="185"/>
      <c r="M180" s="185"/>
      <c r="N180" s="185"/>
      <c r="O180" s="185"/>
      <c r="P180" s="185"/>
    </row>
    <row r="181" spans="1:16">
      <c r="A181" s="185"/>
      <c r="B181" s="185"/>
      <c r="C181" s="185"/>
      <c r="D181" s="185"/>
      <c r="E181" s="185"/>
      <c r="F181" s="185"/>
      <c r="G181" s="185"/>
      <c r="H181" s="185"/>
      <c r="I181" s="185"/>
      <c r="J181" s="185"/>
      <c r="K181" s="185"/>
      <c r="L181" s="185"/>
      <c r="M181" s="185"/>
      <c r="N181" s="185"/>
      <c r="O181" s="185"/>
      <c r="P181" s="185"/>
    </row>
    <row r="182" spans="1:16">
      <c r="A182" s="185"/>
      <c r="B182" s="185"/>
      <c r="C182" s="185"/>
      <c r="D182" s="185"/>
      <c r="E182" s="185"/>
      <c r="F182" s="185"/>
      <c r="G182" s="185"/>
      <c r="H182" s="185"/>
      <c r="I182" s="185"/>
      <c r="J182" s="185"/>
      <c r="K182" s="185"/>
      <c r="L182" s="185"/>
      <c r="M182" s="185"/>
      <c r="N182" s="185"/>
      <c r="O182" s="185"/>
      <c r="P182" s="185"/>
    </row>
    <row r="183" spans="1:16">
      <c r="A183" s="185"/>
      <c r="B183" s="185"/>
      <c r="C183" s="185"/>
      <c r="D183" s="185"/>
      <c r="E183" s="185"/>
      <c r="F183" s="185"/>
      <c r="G183" s="185"/>
      <c r="H183" s="185"/>
      <c r="I183" s="185"/>
      <c r="J183" s="185"/>
      <c r="K183" s="185"/>
      <c r="L183" s="185"/>
      <c r="M183" s="185"/>
      <c r="N183" s="185"/>
      <c r="O183" s="185"/>
      <c r="P183" s="185"/>
    </row>
    <row r="184" spans="1:16">
      <c r="A184" s="185"/>
      <c r="B184" s="185"/>
      <c r="C184" s="185"/>
      <c r="D184" s="185"/>
      <c r="E184" s="185"/>
      <c r="F184" s="185"/>
      <c r="G184" s="185"/>
      <c r="H184" s="185"/>
      <c r="I184" s="185"/>
      <c r="J184" s="185"/>
      <c r="K184" s="185"/>
      <c r="L184" s="185"/>
      <c r="M184" s="185"/>
      <c r="N184" s="185"/>
      <c r="O184" s="185"/>
      <c r="P184" s="185"/>
    </row>
    <row r="185" spans="1:16">
      <c r="A185" s="185"/>
      <c r="B185" s="185"/>
      <c r="C185" s="185"/>
      <c r="D185" s="185"/>
      <c r="E185" s="185"/>
      <c r="F185" s="185"/>
      <c r="G185" s="185"/>
      <c r="H185" s="185"/>
      <c r="I185" s="185"/>
      <c r="J185" s="185"/>
      <c r="K185" s="185"/>
      <c r="L185" s="185"/>
      <c r="M185" s="185"/>
      <c r="N185" s="185"/>
      <c r="O185" s="185"/>
      <c r="P185" s="185"/>
    </row>
    <row r="186" spans="1:16">
      <c r="A186" s="185"/>
      <c r="B186" s="185"/>
      <c r="C186" s="185"/>
      <c r="D186" s="185"/>
      <c r="E186" s="185"/>
      <c r="F186" s="185"/>
      <c r="G186" s="185"/>
      <c r="H186" s="185"/>
      <c r="I186" s="185"/>
      <c r="J186" s="185"/>
      <c r="K186" s="185"/>
      <c r="L186" s="185"/>
      <c r="M186" s="185"/>
      <c r="N186" s="185"/>
      <c r="O186" s="185"/>
      <c r="P186" s="185"/>
    </row>
    <row r="187" spans="1:16">
      <c r="A187" s="185"/>
      <c r="B187" s="185"/>
      <c r="C187" s="185"/>
      <c r="D187" s="185"/>
      <c r="E187" s="185"/>
      <c r="F187" s="185"/>
      <c r="G187" s="185"/>
      <c r="H187" s="185"/>
      <c r="I187" s="185"/>
      <c r="J187" s="185"/>
      <c r="K187" s="185"/>
      <c r="L187" s="185"/>
      <c r="M187" s="185"/>
      <c r="N187" s="185"/>
      <c r="O187" s="185"/>
      <c r="P187" s="185"/>
    </row>
    <row r="188" spans="1:16">
      <c r="A188" s="185"/>
      <c r="B188" s="185"/>
      <c r="C188" s="185"/>
      <c r="D188" s="185"/>
      <c r="E188" s="185"/>
      <c r="F188" s="185"/>
      <c r="G188" s="185"/>
      <c r="H188" s="185"/>
      <c r="I188" s="185"/>
      <c r="J188" s="185"/>
      <c r="K188" s="185"/>
      <c r="L188" s="185"/>
      <c r="M188" s="185"/>
      <c r="N188" s="185"/>
      <c r="O188" s="185"/>
      <c r="P188" s="185"/>
    </row>
    <row r="189" spans="1:16">
      <c r="A189" s="185"/>
      <c r="B189" s="185"/>
      <c r="C189" s="185"/>
      <c r="D189" s="185"/>
      <c r="E189" s="185"/>
      <c r="F189" s="185"/>
      <c r="G189" s="185"/>
      <c r="H189" s="185"/>
      <c r="I189" s="185"/>
      <c r="J189" s="185"/>
      <c r="K189" s="185"/>
      <c r="L189" s="185"/>
      <c r="M189" s="185"/>
      <c r="N189" s="185"/>
      <c r="O189" s="185"/>
      <c r="P189" s="185"/>
    </row>
    <row r="190" spans="1:16">
      <c r="A190" s="185"/>
      <c r="B190" s="185"/>
      <c r="C190" s="185"/>
      <c r="D190" s="185"/>
      <c r="E190" s="185"/>
      <c r="F190" s="185"/>
      <c r="G190" s="185"/>
      <c r="H190" s="185"/>
      <c r="I190" s="185"/>
      <c r="J190" s="185"/>
      <c r="K190" s="185"/>
      <c r="L190" s="185"/>
      <c r="M190" s="185"/>
      <c r="N190" s="185"/>
      <c r="O190" s="185"/>
      <c r="P190" s="185"/>
    </row>
    <row r="191" spans="1:16">
      <c r="A191" s="185"/>
      <c r="B191" s="185"/>
      <c r="C191" s="185"/>
      <c r="D191" s="185"/>
      <c r="E191" s="185"/>
      <c r="F191" s="185"/>
      <c r="G191" s="185"/>
      <c r="H191" s="185"/>
      <c r="I191" s="185"/>
      <c r="J191" s="185"/>
      <c r="K191" s="185"/>
      <c r="L191" s="185"/>
      <c r="M191" s="185"/>
      <c r="N191" s="185"/>
      <c r="O191" s="185"/>
      <c r="P191" s="185"/>
    </row>
    <row r="192" spans="1:16">
      <c r="A192" s="185"/>
      <c r="B192" s="185"/>
      <c r="C192" s="185"/>
      <c r="D192" s="185"/>
      <c r="E192" s="185"/>
      <c r="F192" s="185"/>
      <c r="G192" s="185"/>
      <c r="H192" s="185"/>
      <c r="I192" s="185"/>
      <c r="J192" s="185"/>
      <c r="K192" s="185"/>
      <c r="L192" s="185"/>
      <c r="M192" s="185"/>
      <c r="N192" s="185"/>
      <c r="O192" s="185"/>
      <c r="P192" s="185"/>
    </row>
    <row r="193" spans="1:16">
      <c r="A193" s="185"/>
      <c r="B193" s="185"/>
      <c r="C193" s="185"/>
      <c r="D193" s="185"/>
      <c r="E193" s="185"/>
      <c r="F193" s="185"/>
      <c r="G193" s="185"/>
      <c r="H193" s="185"/>
      <c r="I193" s="185"/>
      <c r="J193" s="185"/>
      <c r="K193" s="185"/>
      <c r="L193" s="185"/>
      <c r="M193" s="185"/>
      <c r="N193" s="185"/>
      <c r="O193" s="185"/>
      <c r="P193" s="185"/>
    </row>
    <row r="194" spans="1:16">
      <c r="A194" s="185"/>
      <c r="B194" s="185"/>
      <c r="C194" s="185"/>
      <c r="D194" s="185"/>
      <c r="E194" s="185"/>
      <c r="F194" s="185"/>
      <c r="G194" s="185"/>
      <c r="H194" s="185"/>
      <c r="I194" s="185"/>
      <c r="J194" s="185"/>
      <c r="K194" s="185"/>
      <c r="L194" s="185"/>
      <c r="M194" s="185"/>
      <c r="N194" s="185"/>
      <c r="O194" s="185"/>
      <c r="P194" s="185"/>
    </row>
    <row r="195" spans="1:16">
      <c r="A195" s="185"/>
      <c r="B195" s="185"/>
      <c r="C195" s="185"/>
      <c r="D195" s="185"/>
      <c r="E195" s="185"/>
      <c r="F195" s="185"/>
      <c r="G195" s="185"/>
      <c r="H195" s="185"/>
      <c r="I195" s="185"/>
      <c r="J195" s="185"/>
      <c r="K195" s="185"/>
      <c r="L195" s="185"/>
      <c r="M195" s="185"/>
      <c r="N195" s="185"/>
      <c r="O195" s="185"/>
      <c r="P195" s="185"/>
    </row>
    <row r="196" spans="1:16">
      <c r="A196" s="185"/>
      <c r="B196" s="185"/>
      <c r="C196" s="185"/>
      <c r="D196" s="185"/>
      <c r="E196" s="185"/>
      <c r="F196" s="185"/>
      <c r="G196" s="185"/>
      <c r="H196" s="185"/>
      <c r="I196" s="185"/>
      <c r="J196" s="185"/>
      <c r="K196" s="185"/>
      <c r="L196" s="185"/>
      <c r="M196" s="185"/>
      <c r="N196" s="185"/>
      <c r="O196" s="185"/>
      <c r="P196" s="185"/>
    </row>
    <row r="197" spans="1:16">
      <c r="A197" s="185"/>
      <c r="B197" s="185"/>
      <c r="C197" s="185"/>
      <c r="D197" s="185"/>
      <c r="E197" s="185"/>
      <c r="F197" s="185"/>
      <c r="G197" s="185"/>
      <c r="H197" s="185"/>
      <c r="I197" s="185"/>
      <c r="J197" s="185"/>
      <c r="K197" s="185"/>
      <c r="L197" s="185"/>
      <c r="M197" s="185"/>
      <c r="N197" s="185"/>
      <c r="O197" s="185"/>
      <c r="P197" s="185"/>
    </row>
    <row r="198" spans="1:16">
      <c r="A198" s="185"/>
      <c r="B198" s="185"/>
      <c r="C198" s="185"/>
      <c r="D198" s="185"/>
      <c r="E198" s="185"/>
      <c r="F198" s="185"/>
      <c r="G198" s="185"/>
      <c r="H198" s="185"/>
      <c r="I198" s="185"/>
      <c r="J198" s="185"/>
      <c r="K198" s="185"/>
      <c r="L198" s="185"/>
      <c r="M198" s="185"/>
      <c r="N198" s="185"/>
      <c r="O198" s="185"/>
      <c r="P198" s="185"/>
    </row>
    <row r="199" spans="1:16">
      <c r="A199" s="185"/>
      <c r="B199" s="185"/>
      <c r="C199" s="185"/>
      <c r="D199" s="185"/>
      <c r="E199" s="185"/>
      <c r="F199" s="185"/>
      <c r="G199" s="185"/>
      <c r="H199" s="185"/>
      <c r="I199" s="185"/>
      <c r="J199" s="185"/>
      <c r="K199" s="185"/>
      <c r="L199" s="185"/>
      <c r="M199" s="185"/>
      <c r="N199" s="185"/>
      <c r="O199" s="185"/>
      <c r="P199" s="185"/>
    </row>
    <row r="200" spans="1:16">
      <c r="A200" s="185"/>
      <c r="B200" s="185"/>
      <c r="C200" s="185"/>
      <c r="D200" s="185"/>
      <c r="E200" s="185"/>
      <c r="F200" s="185"/>
      <c r="G200" s="185"/>
      <c r="H200" s="185"/>
      <c r="I200" s="185"/>
      <c r="J200" s="185"/>
      <c r="K200" s="185"/>
      <c r="L200" s="185"/>
      <c r="M200" s="185"/>
      <c r="N200" s="185"/>
      <c r="O200" s="185"/>
      <c r="P200" s="185"/>
    </row>
    <row r="201" spans="1:16">
      <c r="A201" s="185"/>
      <c r="B201" s="185"/>
      <c r="C201" s="185"/>
      <c r="D201" s="185"/>
      <c r="E201" s="185"/>
      <c r="F201" s="185"/>
      <c r="G201" s="185"/>
      <c r="H201" s="185"/>
      <c r="I201" s="185"/>
      <c r="J201" s="185"/>
      <c r="K201" s="185"/>
      <c r="L201" s="185"/>
      <c r="M201" s="185"/>
      <c r="N201" s="185"/>
      <c r="O201" s="185"/>
      <c r="P201" s="185"/>
    </row>
    <row r="202" spans="1:16">
      <c r="A202" s="185"/>
      <c r="B202" s="185"/>
      <c r="C202" s="185"/>
      <c r="D202" s="185"/>
      <c r="E202" s="185"/>
      <c r="F202" s="185"/>
      <c r="G202" s="185"/>
      <c r="H202" s="185"/>
      <c r="I202" s="185"/>
      <c r="J202" s="185"/>
      <c r="K202" s="185"/>
      <c r="L202" s="185"/>
      <c r="M202" s="185"/>
      <c r="N202" s="185"/>
      <c r="O202" s="185"/>
      <c r="P202" s="185"/>
    </row>
    <row r="203" spans="1:16">
      <c r="A203" s="185"/>
      <c r="B203" s="185"/>
      <c r="C203" s="185"/>
      <c r="D203" s="185"/>
      <c r="E203" s="185"/>
      <c r="F203" s="185"/>
      <c r="G203" s="185"/>
      <c r="H203" s="185"/>
      <c r="I203" s="185"/>
      <c r="J203" s="185"/>
      <c r="K203" s="185"/>
      <c r="L203" s="185"/>
      <c r="M203" s="185"/>
      <c r="N203" s="185"/>
      <c r="O203" s="185"/>
      <c r="P203" s="185"/>
    </row>
    <row r="204" spans="1:16">
      <c r="A204" s="185"/>
      <c r="B204" s="185"/>
      <c r="C204" s="185"/>
      <c r="D204" s="185"/>
      <c r="E204" s="185"/>
      <c r="F204" s="185"/>
      <c r="G204" s="185"/>
      <c r="H204" s="185"/>
      <c r="I204" s="185"/>
      <c r="J204" s="185"/>
      <c r="K204" s="185"/>
      <c r="L204" s="185"/>
      <c r="M204" s="185"/>
      <c r="N204" s="185"/>
      <c r="O204" s="185"/>
      <c r="P204" s="185"/>
    </row>
    <row r="205" spans="1:16">
      <c r="A205" s="185"/>
      <c r="B205" s="185"/>
      <c r="C205" s="185"/>
      <c r="D205" s="185"/>
      <c r="E205" s="185"/>
      <c r="F205" s="185"/>
      <c r="G205" s="185"/>
      <c r="H205" s="185"/>
      <c r="I205" s="185"/>
      <c r="J205" s="185"/>
      <c r="K205" s="185"/>
      <c r="L205" s="185"/>
      <c r="M205" s="185"/>
      <c r="N205" s="185"/>
      <c r="O205" s="185"/>
      <c r="P205" s="185"/>
    </row>
    <row r="206" spans="1:16">
      <c r="A206" s="185"/>
      <c r="B206" s="185"/>
      <c r="C206" s="185"/>
      <c r="D206" s="185"/>
      <c r="E206" s="185"/>
      <c r="F206" s="185"/>
      <c r="G206" s="185"/>
      <c r="H206" s="185"/>
      <c r="I206" s="185"/>
      <c r="J206" s="185"/>
      <c r="K206" s="185"/>
      <c r="L206" s="185"/>
      <c r="M206" s="185"/>
      <c r="N206" s="185"/>
      <c r="O206" s="185"/>
      <c r="P206" s="185"/>
    </row>
    <row r="207" spans="1:16">
      <c r="A207" s="185"/>
      <c r="B207" s="185"/>
      <c r="C207" s="185"/>
      <c r="D207" s="185"/>
      <c r="E207" s="185"/>
      <c r="F207" s="185"/>
      <c r="G207" s="185"/>
      <c r="H207" s="185"/>
      <c r="I207" s="185"/>
      <c r="J207" s="185"/>
      <c r="K207" s="185"/>
      <c r="L207" s="185"/>
      <c r="M207" s="185"/>
      <c r="N207" s="185"/>
      <c r="O207" s="185"/>
      <c r="P207" s="185"/>
    </row>
    <row r="208" spans="1:16">
      <c r="A208" s="185"/>
      <c r="B208" s="185"/>
      <c r="C208" s="185"/>
      <c r="D208" s="185"/>
      <c r="E208" s="185"/>
      <c r="F208" s="185"/>
      <c r="G208" s="185"/>
      <c r="H208" s="185"/>
      <c r="I208" s="185"/>
      <c r="J208" s="185"/>
      <c r="K208" s="185"/>
      <c r="L208" s="185"/>
      <c r="M208" s="185"/>
      <c r="N208" s="185"/>
      <c r="O208" s="185"/>
      <c r="P208" s="185"/>
    </row>
    <row r="209" spans="1:16">
      <c r="A209" s="185"/>
      <c r="B209" s="185"/>
      <c r="C209" s="185"/>
      <c r="D209" s="185"/>
      <c r="E209" s="185"/>
      <c r="F209" s="185"/>
      <c r="G209" s="185"/>
      <c r="H209" s="185"/>
      <c r="I209" s="185"/>
      <c r="J209" s="185"/>
      <c r="K209" s="185"/>
      <c r="L209" s="185"/>
      <c r="M209" s="185"/>
      <c r="N209" s="185"/>
      <c r="O209" s="185"/>
      <c r="P209" s="185"/>
    </row>
    <row r="210" spans="1:16">
      <c r="A210" s="185"/>
      <c r="B210" s="185"/>
      <c r="C210" s="185"/>
      <c r="D210" s="185"/>
      <c r="E210" s="185"/>
      <c r="F210" s="185"/>
      <c r="G210" s="185"/>
      <c r="H210" s="185"/>
      <c r="I210" s="185"/>
      <c r="J210" s="185"/>
      <c r="K210" s="185"/>
      <c r="L210" s="185"/>
      <c r="M210" s="185"/>
      <c r="N210" s="185"/>
      <c r="O210" s="185"/>
      <c r="P210" s="185"/>
    </row>
    <row r="211" spans="1:16">
      <c r="A211" s="185"/>
      <c r="B211" s="185"/>
      <c r="C211" s="185"/>
      <c r="D211" s="185"/>
      <c r="E211" s="185"/>
      <c r="F211" s="185"/>
      <c r="G211" s="185"/>
      <c r="H211" s="185"/>
      <c r="I211" s="185"/>
      <c r="J211" s="185"/>
      <c r="K211" s="185"/>
      <c r="L211" s="185"/>
      <c r="M211" s="185"/>
      <c r="N211" s="185"/>
      <c r="O211" s="185"/>
      <c r="P211" s="185"/>
    </row>
    <row r="212" spans="1:16">
      <c r="A212" s="185"/>
      <c r="B212" s="185"/>
      <c r="C212" s="185"/>
      <c r="D212" s="185"/>
      <c r="E212" s="185"/>
      <c r="F212" s="185"/>
      <c r="G212" s="185"/>
      <c r="H212" s="185"/>
      <c r="I212" s="185"/>
      <c r="J212" s="185"/>
      <c r="K212" s="185"/>
      <c r="L212" s="185"/>
      <c r="M212" s="185"/>
      <c r="N212" s="185"/>
      <c r="O212" s="185"/>
      <c r="P212" s="185"/>
    </row>
    <row r="213" spans="1:16">
      <c r="A213" s="185"/>
      <c r="B213" s="185"/>
      <c r="C213" s="185"/>
      <c r="D213" s="185"/>
      <c r="E213" s="185"/>
      <c r="F213" s="185"/>
      <c r="G213" s="185"/>
      <c r="H213" s="185"/>
      <c r="I213" s="185"/>
      <c r="J213" s="185"/>
      <c r="K213" s="185"/>
      <c r="L213" s="185"/>
      <c r="M213" s="185"/>
      <c r="N213" s="185"/>
      <c r="O213" s="185"/>
      <c r="P213" s="185"/>
    </row>
    <row r="214" spans="1:16">
      <c r="A214" s="185"/>
      <c r="B214" s="185"/>
      <c r="C214" s="185"/>
      <c r="D214" s="185"/>
      <c r="E214" s="185"/>
      <c r="F214" s="185"/>
      <c r="G214" s="185"/>
      <c r="H214" s="185"/>
      <c r="I214" s="185"/>
      <c r="J214" s="185"/>
      <c r="K214" s="185"/>
      <c r="L214" s="185"/>
      <c r="M214" s="185"/>
      <c r="N214" s="185"/>
      <c r="O214" s="185"/>
      <c r="P214" s="185"/>
    </row>
    <row r="215" spans="1:16">
      <c r="A215" s="185"/>
      <c r="B215" s="185"/>
      <c r="C215" s="185"/>
      <c r="D215" s="185"/>
      <c r="E215" s="185"/>
      <c r="F215" s="185"/>
      <c r="G215" s="185"/>
      <c r="H215" s="185"/>
      <c r="I215" s="185"/>
      <c r="J215" s="185"/>
      <c r="K215" s="185"/>
      <c r="L215" s="185"/>
      <c r="M215" s="185"/>
      <c r="N215" s="185"/>
      <c r="O215" s="185"/>
      <c r="P215" s="185"/>
    </row>
    <row r="216" spans="1:16">
      <c r="A216" s="185"/>
      <c r="B216" s="185"/>
      <c r="C216" s="185"/>
      <c r="D216" s="185"/>
      <c r="E216" s="185"/>
      <c r="F216" s="185"/>
      <c r="G216" s="185"/>
      <c r="H216" s="185"/>
      <c r="I216" s="185"/>
      <c r="J216" s="185"/>
      <c r="K216" s="185"/>
      <c r="L216" s="185"/>
      <c r="M216" s="185"/>
      <c r="N216" s="185"/>
      <c r="O216" s="185"/>
      <c r="P216" s="185"/>
    </row>
    <row r="217" spans="1:16">
      <c r="A217" s="185"/>
      <c r="B217" s="185"/>
      <c r="C217" s="185"/>
      <c r="D217" s="185"/>
      <c r="E217" s="185"/>
      <c r="F217" s="185"/>
      <c r="G217" s="185"/>
      <c r="H217" s="185"/>
      <c r="I217" s="185"/>
      <c r="J217" s="185"/>
      <c r="K217" s="185"/>
      <c r="L217" s="185"/>
      <c r="M217" s="185"/>
      <c r="N217" s="185"/>
      <c r="O217" s="185"/>
      <c r="P217" s="185"/>
    </row>
    <row r="218" spans="1:16">
      <c r="A218" s="185"/>
      <c r="B218" s="185"/>
      <c r="C218" s="185"/>
      <c r="D218" s="185"/>
      <c r="E218" s="185"/>
      <c r="F218" s="185"/>
      <c r="G218" s="185"/>
      <c r="H218" s="185"/>
      <c r="I218" s="185"/>
      <c r="J218" s="185"/>
      <c r="K218" s="185"/>
      <c r="L218" s="185"/>
      <c r="M218" s="185"/>
      <c r="N218" s="185"/>
      <c r="O218" s="185"/>
      <c r="P218" s="185"/>
    </row>
    <row r="219" spans="1:16">
      <c r="A219" s="185"/>
      <c r="B219" s="185"/>
      <c r="C219" s="185"/>
      <c r="D219" s="185"/>
      <c r="E219" s="185"/>
      <c r="F219" s="185"/>
      <c r="G219" s="185"/>
      <c r="H219" s="185"/>
      <c r="I219" s="185"/>
      <c r="J219" s="185"/>
      <c r="K219" s="185"/>
      <c r="L219" s="185"/>
      <c r="M219" s="185"/>
      <c r="N219" s="185"/>
      <c r="O219" s="185"/>
      <c r="P219" s="185"/>
    </row>
    <row r="220" spans="1:16">
      <c r="A220" s="185"/>
      <c r="B220" s="185"/>
      <c r="C220" s="185"/>
      <c r="D220" s="185"/>
      <c r="E220" s="185"/>
      <c r="F220" s="185"/>
      <c r="G220" s="185"/>
      <c r="H220" s="185"/>
      <c r="I220" s="185"/>
      <c r="J220" s="185"/>
      <c r="K220" s="185"/>
      <c r="L220" s="185"/>
      <c r="M220" s="185"/>
      <c r="N220" s="185"/>
      <c r="O220" s="185"/>
      <c r="P220" s="185"/>
    </row>
    <row r="221" spans="1:16">
      <c r="A221" s="185"/>
      <c r="B221" s="185"/>
      <c r="C221" s="185"/>
      <c r="D221" s="185"/>
      <c r="E221" s="185"/>
      <c r="F221" s="185"/>
      <c r="G221" s="185"/>
      <c r="H221" s="185"/>
      <c r="I221" s="185"/>
      <c r="J221" s="185"/>
      <c r="K221" s="185"/>
      <c r="L221" s="185"/>
      <c r="M221" s="185"/>
      <c r="N221" s="185"/>
      <c r="O221" s="185"/>
      <c r="P221" s="185"/>
    </row>
    <row r="222" spans="1:16">
      <c r="A222" s="185"/>
      <c r="B222" s="185"/>
      <c r="C222" s="185"/>
      <c r="D222" s="185"/>
      <c r="E222" s="185"/>
      <c r="F222" s="185"/>
      <c r="G222" s="185"/>
      <c r="H222" s="185"/>
      <c r="I222" s="185"/>
      <c r="J222" s="185"/>
      <c r="K222" s="185"/>
      <c r="L222" s="185"/>
      <c r="M222" s="185"/>
      <c r="N222" s="185"/>
      <c r="O222" s="185"/>
      <c r="P222" s="185"/>
    </row>
    <row r="223" spans="1:16">
      <c r="A223" s="185"/>
      <c r="B223" s="185"/>
      <c r="C223" s="185"/>
      <c r="D223" s="185"/>
      <c r="E223" s="185"/>
      <c r="F223" s="185"/>
      <c r="G223" s="185"/>
      <c r="H223" s="185"/>
      <c r="I223" s="185"/>
      <c r="J223" s="185"/>
      <c r="K223" s="185"/>
      <c r="L223" s="185"/>
      <c r="M223" s="185"/>
      <c r="N223" s="185"/>
      <c r="O223" s="185"/>
      <c r="P223" s="185"/>
    </row>
    <row r="224" spans="1:16">
      <c r="A224" s="185"/>
      <c r="B224" s="185"/>
      <c r="C224" s="185"/>
      <c r="D224" s="185"/>
      <c r="E224" s="185"/>
      <c r="F224" s="185"/>
      <c r="G224" s="185"/>
      <c r="H224" s="185"/>
      <c r="I224" s="185"/>
      <c r="J224" s="185"/>
      <c r="K224" s="185"/>
      <c r="L224" s="185"/>
      <c r="M224" s="185"/>
      <c r="N224" s="185"/>
      <c r="O224" s="185"/>
      <c r="P224" s="185"/>
    </row>
    <row r="225" spans="1:16">
      <c r="A225" s="185"/>
      <c r="B225" s="185"/>
      <c r="C225" s="185"/>
      <c r="D225" s="185"/>
      <c r="E225" s="185"/>
      <c r="F225" s="185"/>
      <c r="G225" s="185"/>
      <c r="H225" s="185"/>
      <c r="I225" s="185"/>
      <c r="J225" s="185"/>
      <c r="K225" s="185"/>
      <c r="L225" s="185"/>
      <c r="M225" s="185"/>
      <c r="N225" s="185"/>
      <c r="O225" s="185"/>
      <c r="P225" s="185"/>
    </row>
    <row r="226" spans="1:16">
      <c r="A226" s="185"/>
      <c r="B226" s="185"/>
      <c r="C226" s="185"/>
      <c r="D226" s="185"/>
      <c r="E226" s="185"/>
      <c r="F226" s="185"/>
      <c r="G226" s="185"/>
      <c r="H226" s="185"/>
      <c r="I226" s="185"/>
      <c r="J226" s="185"/>
      <c r="K226" s="185"/>
      <c r="L226" s="185"/>
      <c r="M226" s="185"/>
      <c r="N226" s="185"/>
      <c r="O226" s="185"/>
      <c r="P226" s="185"/>
    </row>
  </sheetData>
  <mergeCells count="7">
    <mergeCell ref="L10:L11"/>
    <mergeCell ref="L6:M6"/>
    <mergeCell ref="G10:G11"/>
    <mergeCell ref="H10:H11"/>
    <mergeCell ref="I10:I11"/>
    <mergeCell ref="J10:J11"/>
    <mergeCell ref="K10:K11"/>
  </mergeCells>
  <dataValidations count="2">
    <dataValidation allowBlank="1" showInputMessage="1" showErrorMessage="1" prompt="Enter mm/dd/yyyy" sqref="M65536:N65536"/>
    <dataValidation type="whole" allowBlank="1" showInputMessage="1" showErrorMessage="1" errorTitle="Warning!" error="This cell must remain unchanged!" promptTitle="Warning!" prompt="Do not Change this cell!" sqref="CV2 CV65532">
      <formula1>1</formula1>
      <formula2>2</formula2>
    </dataValidation>
  </dataValidations>
  <printOptions horizontalCentered="1"/>
  <pageMargins left="0" right="0" top="0.5" bottom="0" header="0" footer="0"/>
  <pageSetup scale="77" orientation="landscape"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D8D5A078EDAF4AB80F0E58A61FDEBC" ma:contentTypeVersion="0" ma:contentTypeDescription="Create a new document." ma:contentTypeScope="" ma:versionID="1ecfffd7b14a57dad1f670cd96b59a3e">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ACABBB-56E2-4439-9F28-0E8737DDA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CC0D0C5-9B4C-4D07-AE1F-3D74511CE28F}">
  <ds:schemaRefs>
    <ds:schemaRef ds:uri="http://schemas.microsoft.com/sharepoint/v3/contenttype/forms"/>
  </ds:schemaRefs>
</ds:datastoreItem>
</file>

<file path=customXml/itemProps3.xml><?xml version="1.0" encoding="utf-8"?>
<ds:datastoreItem xmlns:ds="http://schemas.openxmlformats.org/officeDocument/2006/customXml" ds:itemID="{01197EF0-A352-497E-ABD6-16537A46DA2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103</vt:i4>
      </vt:variant>
    </vt:vector>
  </HeadingPairs>
  <TitlesOfParts>
    <vt:vector size="139" baseType="lpstr">
      <vt:lpstr>Start</vt:lpstr>
      <vt:lpstr>Data</vt:lpstr>
      <vt:lpstr>MainMenu</vt:lpstr>
      <vt:lpstr>Instructions</vt:lpstr>
      <vt:lpstr>F3024</vt:lpstr>
      <vt:lpstr>Hearing</vt:lpstr>
      <vt:lpstr>Attach1</vt:lpstr>
      <vt:lpstr>Attach2A</vt:lpstr>
      <vt:lpstr>Attach2B</vt:lpstr>
      <vt:lpstr>Attach2C</vt:lpstr>
      <vt:lpstr>Attach3A</vt:lpstr>
      <vt:lpstr>Attach3B</vt:lpstr>
      <vt:lpstr>Attach3W</vt:lpstr>
      <vt:lpstr>Attach4</vt:lpstr>
      <vt:lpstr>Attach5</vt:lpstr>
      <vt:lpstr>Attach6</vt:lpstr>
      <vt:lpstr>Attach7</vt:lpstr>
      <vt:lpstr>Attach8</vt:lpstr>
      <vt:lpstr>Attach9</vt:lpstr>
      <vt:lpstr>Attach10_AB</vt:lpstr>
      <vt:lpstr>Attach10_C</vt:lpstr>
      <vt:lpstr>Attach10_D</vt:lpstr>
      <vt:lpstr>Attach11</vt:lpstr>
      <vt:lpstr>Attach11a</vt:lpstr>
      <vt:lpstr>Attach12</vt:lpstr>
      <vt:lpstr>Attach13</vt:lpstr>
      <vt:lpstr>Attach14</vt:lpstr>
      <vt:lpstr>Attach15</vt:lpstr>
      <vt:lpstr>Attach16</vt:lpstr>
      <vt:lpstr>Attach17</vt:lpstr>
      <vt:lpstr>Attach18</vt:lpstr>
      <vt:lpstr>Attach19</vt:lpstr>
      <vt:lpstr>Attach20</vt:lpstr>
      <vt:lpstr>Attach21</vt:lpstr>
      <vt:lpstr>Attach22</vt:lpstr>
      <vt:lpstr>Attach23</vt:lpstr>
      <vt:lpstr>Attach2B!ActualDate</vt:lpstr>
      <vt:lpstr>BillingPeriods</vt:lpstr>
      <vt:lpstr>Block1</vt:lpstr>
      <vt:lpstr>Block2</vt:lpstr>
      <vt:lpstr>Block3</vt:lpstr>
      <vt:lpstr>Block4</vt:lpstr>
      <vt:lpstr>Block5</vt:lpstr>
      <vt:lpstr>CBRate</vt:lpstr>
      <vt:lpstr>Class</vt:lpstr>
      <vt:lpstr>Attach2B!CommMeters</vt:lpstr>
      <vt:lpstr>Attach3B!CommMetersTY</vt:lpstr>
      <vt:lpstr>CommUnits</vt:lpstr>
      <vt:lpstr>CommUnitsTY</vt:lpstr>
      <vt:lpstr>CommVolRates</vt:lpstr>
      <vt:lpstr>Conservation</vt:lpstr>
      <vt:lpstr>Depreciation1</vt:lpstr>
      <vt:lpstr>Depreciation2</vt:lpstr>
      <vt:lpstr>Depreciation3</vt:lpstr>
      <vt:lpstr>Depreciation4</vt:lpstr>
      <vt:lpstr>Depreciation5</vt:lpstr>
      <vt:lpstr>Attach2B!IndMeters</vt:lpstr>
      <vt:lpstr>Attach3B!IndMetersTY</vt:lpstr>
      <vt:lpstr>IndUnits</vt:lpstr>
      <vt:lpstr>IndUnitsTY</vt:lpstr>
      <vt:lpstr>IrrigationRate</vt:lpstr>
      <vt:lpstr>Attach2B!IrrMeters</vt:lpstr>
      <vt:lpstr>Attach3B!IrrMetersTY</vt:lpstr>
      <vt:lpstr>IrrRates</vt:lpstr>
      <vt:lpstr>IrrUnits</vt:lpstr>
      <vt:lpstr>IrrUnitsTY</vt:lpstr>
      <vt:lpstr>IrrVolRates</vt:lpstr>
      <vt:lpstr>Measurement</vt:lpstr>
      <vt:lpstr>MeterRates</vt:lpstr>
      <vt:lpstr>Attach2B!MFMeters</vt:lpstr>
      <vt:lpstr>Attach3B!MFMetersTY</vt:lpstr>
      <vt:lpstr>MFRates</vt:lpstr>
      <vt:lpstr>MFUnits</vt:lpstr>
      <vt:lpstr>MFUnitsTY</vt:lpstr>
      <vt:lpstr>MFVolRates</vt:lpstr>
      <vt:lpstr>MissedAppt</vt:lpstr>
      <vt:lpstr>MuniPFP</vt:lpstr>
      <vt:lpstr>NIRB</vt:lpstr>
      <vt:lpstr>NRRates</vt:lpstr>
      <vt:lpstr>NSF</vt:lpstr>
      <vt:lpstr>OtherFees</vt:lpstr>
      <vt:lpstr>Attach2B!PAMeters</vt:lpstr>
      <vt:lpstr>Attach3B!PAMetersTY</vt:lpstr>
      <vt:lpstr>PAUnits</vt:lpstr>
      <vt:lpstr>PAUnitsTY</vt:lpstr>
      <vt:lpstr>PFPCharge</vt:lpstr>
      <vt:lpstr>PFPRates</vt:lpstr>
      <vt:lpstr>Attach1!Print_Area</vt:lpstr>
      <vt:lpstr>Attach10_AB!Print_Area</vt:lpstr>
      <vt:lpstr>Attach10_C!Print_Area</vt:lpstr>
      <vt:lpstr>Attach10_D!Print_Area</vt:lpstr>
      <vt:lpstr>Attach11!Print_Area</vt:lpstr>
      <vt:lpstr>Attach11a!Print_Area</vt:lpstr>
      <vt:lpstr>Attach12!Print_Area</vt:lpstr>
      <vt:lpstr>Attach13!Print_Area</vt:lpstr>
      <vt:lpstr>Attach14!Print_Area</vt:lpstr>
      <vt:lpstr>Attach15!Print_Area</vt:lpstr>
      <vt:lpstr>Attach16!Print_Area</vt:lpstr>
      <vt:lpstr>Attach17!Print_Area</vt:lpstr>
      <vt:lpstr>Attach18!Print_Area</vt:lpstr>
      <vt:lpstr>Attach19!Print_Area</vt:lpstr>
      <vt:lpstr>Attach20!Print_Area</vt:lpstr>
      <vt:lpstr>Attach21!Print_Area</vt:lpstr>
      <vt:lpstr>Attach22!Print_Area</vt:lpstr>
      <vt:lpstr>Attach2A!Print_Area</vt:lpstr>
      <vt:lpstr>Attach2B!Print_Area</vt:lpstr>
      <vt:lpstr>Attach3A!Print_Area</vt:lpstr>
      <vt:lpstr>Attach3B!Print_Area</vt:lpstr>
      <vt:lpstr>Attach3W!Print_Area</vt:lpstr>
      <vt:lpstr>Attach4!Print_Area</vt:lpstr>
      <vt:lpstr>Attach5!Print_Area</vt:lpstr>
      <vt:lpstr>Attach6!Print_Area</vt:lpstr>
      <vt:lpstr>Attach7!Print_Area</vt:lpstr>
      <vt:lpstr>Attach8!Print_Area</vt:lpstr>
      <vt:lpstr>Attach9!Print_Area</vt:lpstr>
      <vt:lpstr>'F3024'!Print_Area</vt:lpstr>
      <vt:lpstr>Hearing!Print_Area</vt:lpstr>
      <vt:lpstr>Instructions!Print_Area</vt:lpstr>
      <vt:lpstr>PrivateFPMeters</vt:lpstr>
      <vt:lpstr>PrivateFPRates</vt:lpstr>
      <vt:lpstr>Question2</vt:lpstr>
      <vt:lpstr>RealEstateClosing</vt:lpstr>
      <vt:lpstr>Attach2B!ResMeters</vt:lpstr>
      <vt:lpstr>Attach3B!ResMetersTY</vt:lpstr>
      <vt:lpstr>ResUnits</vt:lpstr>
      <vt:lpstr>ResUnitsTY</vt:lpstr>
      <vt:lpstr>SpecialBilling</vt:lpstr>
      <vt:lpstr>SpecialMeterReading</vt:lpstr>
      <vt:lpstr>TestYear</vt:lpstr>
      <vt:lpstr>TestYearMatSup</vt:lpstr>
      <vt:lpstr>TestYearTotalPlant</vt:lpstr>
      <vt:lpstr>TestYearTotDep</vt:lpstr>
      <vt:lpstr>TestYearTotRegLiability</vt:lpstr>
      <vt:lpstr>Attach11!TransmissionDist</vt:lpstr>
      <vt:lpstr>UtilID</vt:lpstr>
      <vt:lpstr>Utility</vt:lpstr>
      <vt:lpstr>VolumeRates</vt:lpstr>
      <vt:lpstr>WaterService</vt:lpstr>
      <vt:lpstr>WholesaleTY</vt:lpstr>
    </vt:vector>
  </TitlesOfParts>
  <Company>Public Service Commission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Sam  PSC</dc:creator>
  <cp:lastModifiedBy>Brenda Konkel</cp:lastModifiedBy>
  <cp:lastPrinted>2014-10-13T03:40:49Z</cp:lastPrinted>
  <dcterms:created xsi:type="dcterms:W3CDTF">2013-08-15T14:18:10Z</dcterms:created>
  <dcterms:modified xsi:type="dcterms:W3CDTF">2014-10-28T12:44:51Z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gysbeb</vt:lpwstr>
  </property>
  <property fmtid="{D5CDD505-2E9C-101B-9397-08002B2CF9AE}" pid="4" name="{DLP_CreatedOn}">
    <vt:lpwstr>7/11/2014 3:27:59 PM</vt:lpwstr>
  </property>
  <property fmtid="{D5CDD505-2E9C-101B-9397-08002B2CF9AE}" pid="5" name="{DLP_Description}">
    <vt:lpwstr/>
  </property>
  <property fmtid="{D5CDD505-2E9C-101B-9397-08002B2CF9AE}" pid="6" name="{DLP_VersionNotes}">
    <vt:lpwstr/>
  </property>
  <property fmtid="{D5CDD505-2E9C-101B-9397-08002B2CF9AE}" pid="7" name="{DLP_VersionID}">
    <vt:lpwstr>2</vt:lpwstr>
  </property>
  <property fmtid="{D5CDD505-2E9C-101B-9397-08002B2CF9AE}" pid="8" name="{DLP_MinorID}">
    <vt:lpwstr>0</vt:lpwstr>
  </property>
  <property fmtid="{D5CDD505-2E9C-101B-9397-08002B2CF9AE}" pid="9" name="{DLP_Path}">
    <vt:lpwstr>PSC\Documents\Utilities\03000-03999\3200-3299\3280\Non-Docket\</vt:lpwstr>
  </property>
  <property fmtid="{D5CDD505-2E9C-101B-9397-08002B2CF9AE}" pid="10" name="{DLP_ParentFolder}">
    <vt:lpwstr>1BFDC6B3-C28E-43F4-A5A7-8525C8E2FFDB</vt:lpwstr>
  </property>
  <property fmtid="{D5CDD505-2E9C-101B-9397-08002B2CF9AE}" pid="11" name="{DLP_ObjectID}">
    <vt:lpwstr>7F986FBC29CD4E178C084E673736FC79</vt:lpwstr>
  </property>
  <property fmtid="{D5CDD505-2E9C-101B-9397-08002B2CF9AE}" pid="12" name="{DLP_FileName}">
    <vt:lpwstr>AB_3280 Madison Water Utilty 2015TY Water Rate Increase Application.xls</vt:lpwstr>
  </property>
  <property fmtid="{D5CDD505-2E9C-101B-9397-08002B2CF9AE}" pid="13" name="{DLP_Extension}">
    <vt:lpwstr>.xls</vt:lpwstr>
  </property>
  <property fmtid="{D5CDD505-2E9C-101B-9397-08002B2CF9AE}" pid="14" name="{DLP_Profile}">
    <vt:lpwstr>General Documents</vt:lpwstr>
  </property>
  <property fmtid="{D5CDD505-2E9C-101B-9397-08002B2CF9AE}" pid="15" name="{DLPP_Division or Bureau}">
    <vt:lpwstr>DWCCA</vt:lpwstr>
  </property>
  <property fmtid="{D5CDD505-2E9C-101B-9397-08002B2CF9AE}" pid="16" name="{DLPP_Document Type}">
    <vt:lpwstr>Working Paper</vt:lpwstr>
  </property>
  <property fmtid="{D5CDD505-2E9C-101B-9397-08002B2CF9AE}" pid="17" name="{DLPP_Subject}">
    <vt:lpwstr>Water Rate Increase Application</vt:lpwstr>
  </property>
  <property fmtid="{D5CDD505-2E9C-101B-9397-08002B2CF9AE}" pid="18" name="{DLPP_Date}">
    <vt:lpwstr>7/11/2014</vt:lpwstr>
  </property>
  <property fmtid="{D5CDD505-2E9C-101B-9397-08002B2CF9AE}" pid="19" name="{DLPP_Author}">
    <vt:lpwstr>Gysbers, Bridgot</vt:lpwstr>
  </property>
  <property fmtid="{D5CDD505-2E9C-101B-9397-08002B2CF9AE}" pid="20" name="{DLPP_EDM Reference Number}">
    <vt:lpwstr>00938151</vt:lpwstr>
  </property>
  <property fmtid="{D5CDD505-2E9C-101B-9397-08002B2CF9AE}" pid="21" name="{DLPP_Agenda Status}">
    <vt:lpwstr/>
  </property>
  <property fmtid="{D5CDD505-2E9C-101B-9397-08002B2CF9AE}" pid="22" name="{DLPP_ERF Document Type Code}">
    <vt:lpwstr/>
  </property>
  <property fmtid="{D5CDD505-2E9C-101B-9397-08002B2CF9AE}" pid="23" name="{DLPP_WorkflowInstanceName}">
    <vt:lpwstr/>
  </property>
  <property fmtid="{D5CDD505-2E9C-101B-9397-08002B2CF9AE}" pid="24" name="{DLPP_DidDocumentGoOutForComments?}">
    <vt:lpwstr/>
  </property>
  <property fmtid="{D5CDD505-2E9C-101B-9397-08002B2CF9AE}" pid="25" name="{DLPP_AgendaStatus}">
    <vt:lpwstr/>
  </property>
  <property fmtid="{D5CDD505-2E9C-101B-9397-08002B2CF9AE}" pid="26" name="{DLPP_Confidential Status}">
    <vt:lpwstr/>
  </property>
  <property fmtid="{D5CDD505-2E9C-101B-9397-08002B2CF9AE}" pid="27" name="{DLPP_ERF Auto-Upload Status}">
    <vt:lpwstr/>
  </property>
</Properties>
</file>